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missoulacounty.sharepoint.com/CommDev/CAPS/GP/AM/Impact Fees/impact fee administration materials/impact fee collection forms/"/>
    </mc:Choice>
  </mc:AlternateContent>
  <xr:revisionPtr revIDLastSave="34" documentId="8_{9DCDF59D-374F-47CB-B9DA-E426F3EF5C11}" xr6:coauthVersionLast="47" xr6:coauthVersionMax="47" xr10:uidLastSave="{A1CAAFFF-AA43-43B5-BF24-4AC5B501D4A0}"/>
  <workbookProtection workbookAlgorithmName="SHA-512" workbookHashValue="Bvjl/WSmu/V1bknnjsIggjAFDx4iAVdRFRTyFzmKjKlT2f8Ixc9/2mG4Hj3Z5+vJ8HX++0o7pICOJWfQNclTHA==" workbookSaltValue="nTmPjLR2M3HJamloEjKfRQ==" workbookSpinCount="100000" lockStructure="1"/>
  <bookViews>
    <workbookView xWindow="22932" yWindow="-108" windowWidth="23256" windowHeight="12456" firstSheet="1" activeTab="1" xr2:uid="{82092919-7CE7-47DB-9637-8698A9136D4F}"/>
  </bookViews>
  <sheets>
    <sheet name="Schedule" sheetId="1" state="hidden" r:id="rId1"/>
    <sheet name="Estimator" sheetId="4" r:id="rId2"/>
    <sheet name="Math" sheetId="5" state="hidden" r:id="rId3"/>
    <sheet name="Combined" sheetId="3" state="hidden" r:id="rId4"/>
    <sheet name="List" sheetId="2" state="hidden" r:id="rId5"/>
  </sheets>
  <definedNames>
    <definedName name="Category">Estimator!$C$15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3" l="1"/>
  <c r="B11" i="3"/>
  <c r="B12" i="3"/>
  <c r="B13" i="3"/>
  <c r="B10" i="3"/>
  <c r="B157" i="1"/>
  <c r="B158" i="1"/>
  <c r="B159" i="1"/>
  <c r="B160" i="1"/>
  <c r="B161" i="1"/>
  <c r="B162" i="1"/>
  <c r="B163" i="1"/>
  <c r="B164" i="1"/>
  <c r="B165" i="1"/>
  <c r="B166" i="1"/>
  <c r="B167" i="1"/>
  <c r="B168" i="1"/>
  <c r="B169" i="1"/>
  <c r="B170" i="1"/>
  <c r="B156" i="1"/>
  <c r="B139" i="1"/>
  <c r="B140" i="1"/>
  <c r="B141" i="1"/>
  <c r="B142" i="1"/>
  <c r="B143" i="1"/>
  <c r="B144" i="1"/>
  <c r="B145" i="1"/>
  <c r="B146" i="1"/>
  <c r="B147" i="1"/>
  <c r="B148" i="1"/>
  <c r="B149" i="1"/>
  <c r="B150" i="1"/>
  <c r="B151" i="1"/>
  <c r="B152" i="1"/>
  <c r="B138" i="1"/>
  <c r="B134" i="1"/>
  <c r="B120" i="1"/>
  <c r="B83" i="1"/>
  <c r="B65" i="1"/>
  <c r="B97" i="1"/>
  <c r="B84" i="1"/>
  <c r="B85" i="1"/>
  <c r="B86" i="1"/>
  <c r="B87" i="1"/>
  <c r="B88" i="1"/>
  <c r="B89" i="1"/>
  <c r="B90" i="1"/>
  <c r="B91" i="1"/>
  <c r="B92" i="1"/>
  <c r="B93" i="1"/>
  <c r="B94" i="1"/>
  <c r="B95" i="1"/>
  <c r="B96" i="1"/>
  <c r="B66" i="1"/>
  <c r="B67" i="1"/>
  <c r="B68" i="1"/>
  <c r="B69" i="1"/>
  <c r="B70" i="1"/>
  <c r="B71" i="1"/>
  <c r="B72" i="1"/>
  <c r="B73" i="1"/>
  <c r="B74" i="1"/>
  <c r="B75" i="1"/>
  <c r="B76" i="1"/>
  <c r="B77" i="1"/>
  <c r="B78" i="1"/>
  <c r="B79" i="1"/>
  <c r="B47" i="1"/>
  <c r="B48" i="1"/>
  <c r="B49" i="1"/>
  <c r="B46" i="1"/>
  <c r="B42" i="1"/>
  <c r="B40" i="1"/>
  <c r="B41" i="1"/>
  <c r="B39" i="1"/>
  <c r="B5" i="5"/>
  <c r="B8" i="5"/>
  <c r="B2" i="5" l="1"/>
  <c r="J6" i="5"/>
  <c r="J9" i="5"/>
  <c r="J11" i="5"/>
  <c r="J14" i="5"/>
  <c r="J16" i="5"/>
  <c r="J19" i="5"/>
  <c r="J21" i="5"/>
  <c r="J24" i="5"/>
  <c r="J26" i="5"/>
  <c r="B24" i="5"/>
  <c r="B23" i="5"/>
  <c r="B19" i="5"/>
  <c r="B18" i="5"/>
  <c r="B14" i="5"/>
  <c r="B13" i="5"/>
  <c r="B9" i="5"/>
  <c r="B10" i="5" s="1"/>
  <c r="B4" i="5"/>
  <c r="E4" i="5" s="1"/>
  <c r="C10" i="5" l="1"/>
  <c r="F10" i="5" s="1"/>
  <c r="B25" i="5"/>
  <c r="C25" i="5" s="1"/>
  <c r="E25" i="5" s="1"/>
  <c r="B20" i="5"/>
  <c r="C20" i="5" s="1"/>
  <c r="B15" i="5"/>
  <c r="B27" i="5"/>
  <c r="B3" i="5"/>
  <c r="I3" i="5" s="1"/>
  <c r="B17" i="5"/>
  <c r="C18" i="5" s="1"/>
  <c r="G18" i="5" s="1"/>
  <c r="B12" i="5"/>
  <c r="C13" i="5" s="1"/>
  <c r="B7" i="5"/>
  <c r="B22" i="5"/>
  <c r="C23" i="5" s="1"/>
  <c r="G23" i="5" s="1"/>
  <c r="G4" i="5"/>
  <c r="H4" i="5"/>
  <c r="I4" i="5"/>
  <c r="D4" i="5"/>
  <c r="F4" i="5"/>
  <c r="E10" i="5" l="1"/>
  <c r="B31" i="5"/>
  <c r="C15" i="5"/>
  <c r="B28" i="5"/>
  <c r="D25" i="5"/>
  <c r="G25" i="5"/>
  <c r="F25" i="5"/>
  <c r="G10" i="5"/>
  <c r="D10" i="5"/>
  <c r="F20" i="5"/>
  <c r="E20" i="5"/>
  <c r="G20" i="5"/>
  <c r="D20" i="5"/>
  <c r="G3" i="5"/>
  <c r="G5" i="5" s="1"/>
  <c r="D13" i="5"/>
  <c r="G13" i="5"/>
  <c r="C8" i="5"/>
  <c r="G8" i="5" s="1"/>
  <c r="B30" i="5"/>
  <c r="C17" i="5"/>
  <c r="G17" i="5" s="1"/>
  <c r="F3" i="5"/>
  <c r="F5" i="5" s="1"/>
  <c r="D3" i="5"/>
  <c r="I5" i="5"/>
  <c r="E3" i="5"/>
  <c r="E5" i="5" s="1"/>
  <c r="H3" i="5"/>
  <c r="H5" i="5" s="1"/>
  <c r="D23" i="5"/>
  <c r="E13" i="5"/>
  <c r="F13" i="5"/>
  <c r="D18" i="5"/>
  <c r="F18" i="5"/>
  <c r="E18" i="5"/>
  <c r="F23" i="5"/>
  <c r="J4" i="5"/>
  <c r="D17" i="5" l="1"/>
  <c r="J10" i="5"/>
  <c r="J25" i="5"/>
  <c r="I30" i="5"/>
  <c r="I31" i="5"/>
  <c r="F15" i="5"/>
  <c r="F28" i="5" s="1"/>
  <c r="F31" i="5" s="1"/>
  <c r="F17" i="4" s="1"/>
  <c r="G15" i="5"/>
  <c r="G28" i="5" s="1"/>
  <c r="G31" i="5" s="1"/>
  <c r="F19" i="4" s="1"/>
  <c r="D15" i="5"/>
  <c r="E15" i="5"/>
  <c r="E28" i="5" s="1"/>
  <c r="E31" i="5" s="1"/>
  <c r="F15" i="4" s="1"/>
  <c r="H30" i="5"/>
  <c r="H31" i="5"/>
  <c r="F21" i="4" s="1"/>
  <c r="J20" i="5"/>
  <c r="F8" i="5"/>
  <c r="D8" i="5"/>
  <c r="E8" i="5"/>
  <c r="C22" i="5"/>
  <c r="F22" i="5" s="1"/>
  <c r="J3" i="5"/>
  <c r="C12" i="5"/>
  <c r="F12" i="5" s="1"/>
  <c r="C7" i="5"/>
  <c r="D5" i="5"/>
  <c r="E23" i="5"/>
  <c r="J23" i="5" s="1"/>
  <c r="J13" i="5"/>
  <c r="J18" i="5"/>
  <c r="F17" i="5"/>
  <c r="J15" i="5" l="1"/>
  <c r="J28" i="5" s="1"/>
  <c r="F23" i="4"/>
  <c r="D28" i="5"/>
  <c r="D31" i="5" s="1"/>
  <c r="J8" i="5"/>
  <c r="J5" i="5"/>
  <c r="D7" i="5"/>
  <c r="C27" i="5"/>
  <c r="F7" i="5"/>
  <c r="E7" i="5"/>
  <c r="G7" i="5"/>
  <c r="E12" i="5"/>
  <c r="G12" i="5"/>
  <c r="D12" i="5"/>
  <c r="E17" i="5"/>
  <c r="D22" i="5"/>
  <c r="E22" i="5"/>
  <c r="G22" i="5"/>
  <c r="J31" i="5" l="1"/>
  <c r="J29" i="5"/>
  <c r="G27" i="5"/>
  <c r="G30" i="5" s="1"/>
  <c r="E27" i="5"/>
  <c r="E30" i="5" s="1"/>
  <c r="F27" i="5"/>
  <c r="F30" i="5" s="1"/>
  <c r="D27" i="5"/>
  <c r="D30" i="5" s="1"/>
  <c r="J7" i="5"/>
  <c r="J12" i="5"/>
  <c r="J17" i="5"/>
  <c r="J22" i="5"/>
  <c r="F26" i="4" l="1"/>
  <c r="J27" i="5"/>
  <c r="J30" i="5" s="1"/>
  <c r="B33" i="3"/>
  <c r="B32" i="3"/>
  <c r="B31" i="3"/>
  <c r="B30" i="3"/>
  <c r="B29" i="3"/>
  <c r="B28" i="3"/>
  <c r="B27" i="3"/>
  <c r="B26" i="3"/>
  <c r="B25" i="3"/>
  <c r="B24" i="3"/>
  <c r="B23" i="3"/>
  <c r="B22" i="3"/>
  <c r="B21" i="3"/>
  <c r="B20" i="3"/>
  <c r="B102" i="1"/>
  <c r="B103" i="1"/>
  <c r="B104" i="1"/>
  <c r="B105" i="1"/>
  <c r="B106" i="1"/>
  <c r="B107" i="1"/>
  <c r="B108" i="1"/>
  <c r="B109" i="1"/>
  <c r="B110" i="1"/>
  <c r="B111" i="1"/>
  <c r="B112" i="1"/>
  <c r="B113" i="1"/>
  <c r="B114" i="1"/>
  <c r="B115" i="1"/>
  <c r="B121" i="1"/>
  <c r="B122" i="1"/>
  <c r="B123" i="1"/>
  <c r="B124" i="1"/>
  <c r="B125" i="1"/>
  <c r="B126" i="1"/>
  <c r="B127" i="1"/>
  <c r="B128" i="1"/>
  <c r="B129" i="1"/>
  <c r="B130" i="1"/>
  <c r="B131" i="1"/>
  <c r="B132" i="1"/>
  <c r="B133" i="1"/>
  <c r="B101" i="1"/>
</calcChain>
</file>

<file path=xl/sharedStrings.xml><?xml version="1.0" encoding="utf-8"?>
<sst xmlns="http://schemas.openxmlformats.org/spreadsheetml/2006/main" count="391" uniqueCount="142">
  <si>
    <r>
      <t xml:space="preserve">IMPACT FEE SCHEDULE
</t>
    </r>
    <r>
      <rPr>
        <sz val="11"/>
        <color rgb="FF395F6F"/>
        <rFont val="Avenir Next LT Pro"/>
        <family val="2"/>
      </rPr>
      <t>Effective August 1, 2024</t>
    </r>
    <r>
      <rPr>
        <b/>
        <sz val="16"/>
        <color rgb="FF395F6F"/>
        <rFont val="Avenir Next LT Pro"/>
        <family val="2"/>
      </rPr>
      <t xml:space="preserve">
</t>
    </r>
    <r>
      <rPr>
        <sz val="11"/>
        <color rgb="FF395F6F"/>
        <rFont val="Avenir Next LT Pro"/>
        <family val="2"/>
      </rPr>
      <t>*does not include card processing fee if applicable</t>
    </r>
  </si>
  <si>
    <t>• This includes new office buildings, new homes, building remodels and additions like studios, commercial storage facilities or other detached residential accessory structures. Greenhouses and barns and detached storage are not likely to generate impact and do not require impact fees.</t>
  </si>
  <si>
    <t>• In general, buildings or constructions that add an increased demand for services from government (like more administrative space, fire engines to respond to emergencies, trail maintenance for increased use due to population growth, etc).</t>
  </si>
  <si>
    <t>• Impact fee development categories are defined as follows:</t>
  </si>
  <si>
    <t>COMMERCIAL/
RETAIL</t>
  </si>
  <si>
    <t>Establishments primarily selling merchandise, eating/drinking places and services. Examples include retail uses: shopping centers, supermarkets, pharmacies, restaurants, bars, nightclubs, automobile dealerships. Services examples include movie theaters, repair, health clubs, beauty, hotels and motels. Corresponds to Institute of Transportation Engineers ITE (11th Edition) land uses 300-320, 810-971.</t>
  </si>
  <si>
    <t>INDUSTRIAL</t>
  </si>
  <si>
    <t>Establishments primarily engaged in the production, transportation or storage of goods. Examples include manufacturing plants, distribution warehouses, long-term storage, trucking and logistics. Also includes construction, utility, power generation facilities and telecommunications buildings. Corresponds to ITE (11th Edition) land uses 100-180.</t>
  </si>
  <si>
    <t>INSTITUTIONAL</t>
  </si>
  <si>
    <t>Establishments providing education and healthcare services. Examples include universities, nursing homes, daycare facilities and hospitals. Corresponds to ITE (11th Edition) land uses 520-650.</t>
  </si>
  <si>
    <t>OFFICE</t>
  </si>
  <si>
    <t>Establishments providing management, administrative, professional or business services. Examples include medical/dental offices and business offices. Corresponds to ITE (11th Edition) land uses 700-731.</t>
  </si>
  <si>
    <t>RESIDENTIAL</t>
  </si>
  <si>
    <t>Any building, structure use or development designed, intended or used as a dwelling unit or its accessory buildings, or that results in the expansion of a dwelling unit or units.</t>
  </si>
  <si>
    <t>NON-RESIDENTIAL IMPACT FEES</t>
  </si>
  <si>
    <t>CATEGORY</t>
  </si>
  <si>
    <t>TOTAL</t>
  </si>
  <si>
    <t>SHERIFF</t>
  </si>
  <si>
    <t>Industrial</t>
  </si>
  <si>
    <t>Institutional</t>
  </si>
  <si>
    <t>Retail/Commercial</t>
  </si>
  <si>
    <t>Office</t>
  </si>
  <si>
    <t>*For mixed used buildings - for example retail and office - please contact the Planning, Development &amp; Sustainability Department</t>
  </si>
  <si>
    <t>RESIDENTIAL IMPACT FEES</t>
  </si>
  <si>
    <t>LOCATED WITHIN BONNER SERVICE AREA</t>
  </si>
  <si>
    <t>SQUARE FOOTAGE</t>
  </si>
  <si>
    <t xml:space="preserve">SHERIFF </t>
  </si>
  <si>
    <t>SHARED USE PATHS</t>
  </si>
  <si>
    <t>PARKS</t>
  </si>
  <si>
    <r>
      <t xml:space="preserve">Residential </t>
    </r>
    <r>
      <rPr>
        <sz val="11"/>
        <color theme="1"/>
        <rFont val="Calibri"/>
        <family val="2"/>
      </rPr>
      <t>≤</t>
    </r>
    <r>
      <rPr>
        <sz val="11"/>
        <color theme="1"/>
        <rFont val="Calibri"/>
        <family val="2"/>
        <scheme val="minor"/>
      </rPr>
      <t>750</t>
    </r>
  </si>
  <si>
    <t>Residential 751-1000</t>
  </si>
  <si>
    <t>Residential 1001-1250</t>
  </si>
  <si>
    <t>Residential 1251-1500</t>
  </si>
  <si>
    <t>Residential 1501-1750</t>
  </si>
  <si>
    <t>Residential 1751-2000</t>
  </si>
  <si>
    <t>Residential 2001-2250</t>
  </si>
  <si>
    <t>Residential 2251-2500</t>
  </si>
  <si>
    <t>Residential 2501-2750</t>
  </si>
  <si>
    <t>Residential 2751-3000</t>
  </si>
  <si>
    <t>Residential 3001-3250</t>
  </si>
  <si>
    <t>Residential 3521-3500</t>
  </si>
  <si>
    <t>Residential 3501-3750</t>
  </si>
  <si>
    <t>Residential 3751-4000</t>
  </si>
  <si>
    <t>Residential 4001+</t>
  </si>
  <si>
    <t>LOCATED WITHIN CENTRAL MISSOULA SERVICE AREA</t>
  </si>
  <si>
    <t>LOCATED WITHIN FRENCHTOWN SERVICE AREA - OUTSIDE FRENCHTOWN RURAL FIRE DISTRICT</t>
  </si>
  <si>
    <t>LOCATED WITHIN FRENCHTOWN SERVICE AREA AND FRENCHTOWN RURAL FIRE DISTRICT</t>
  </si>
  <si>
    <t>LOCATED WITHIN LOLO SERVICE AREA</t>
  </si>
  <si>
    <t>LOCATED WITHIN SEELEY SERVICE AREA</t>
  </si>
  <si>
    <t>2025 IMPACT FEE ESTIMATOR 
MIXED USE</t>
  </si>
  <si>
    <t>For new development building permits and land use/zoning compliance permits completed after Oct. 1, 2025. This worksheet is a NON-BINDING ESTIMATE.</t>
  </si>
  <si>
    <t>Complete Section B if applicable.</t>
  </si>
  <si>
    <t xml:space="preserve">SECTION A </t>
  </si>
  <si>
    <t>SECTION D</t>
  </si>
  <si>
    <t>To be completed by all applicants</t>
  </si>
  <si>
    <t>Automatically calculated impcat fees based on input from sections A, B and C</t>
  </si>
  <si>
    <t>CATEGORY:</t>
  </si>
  <si>
    <t>SHERIFF:</t>
  </si>
  <si>
    <t>PAYING BY CREDIT CARD:</t>
  </si>
  <si>
    <t>No</t>
  </si>
  <si>
    <t>SECTION B</t>
  </si>
  <si>
    <t>EMERGENCY MANAGEMENT:</t>
  </si>
  <si>
    <t>To be completed by all applicants to determine if property is located within Frenchtown Fire District</t>
  </si>
  <si>
    <t>FIRE DISTRICT LOOKUP LINK:</t>
  </si>
  <si>
    <t>CLICK HERE</t>
  </si>
  <si>
    <t>FRENCHTOWN FIRE DISTRICT:</t>
  </si>
  <si>
    <t>LOCATED WITHIN FRENCHTOWN FIRE DISTRICT?</t>
  </si>
  <si>
    <t>SECTION C</t>
  </si>
  <si>
    <t>SERVICE AREA:</t>
  </si>
  <si>
    <t>Frenchtown</t>
  </si>
  <si>
    <t xml:space="preserve"> SERVICE AREA LOOKUP LINK:</t>
  </si>
  <si>
    <r>
      <rPr>
        <b/>
        <sz val="11"/>
        <color rgb="FF000000"/>
        <rFont val="Avenir Next LT Pro Light"/>
        <family val="2"/>
      </rPr>
      <t>CREDIT CARD FEE</t>
    </r>
    <r>
      <rPr>
        <b/>
        <sz val="12"/>
        <color rgb="FF000000"/>
        <rFont val="Avenir Next LT Pro Light"/>
        <family val="2"/>
      </rPr>
      <t xml:space="preserve">:        </t>
    </r>
    <r>
      <rPr>
        <sz val="12"/>
        <color rgb="FF000000"/>
        <rFont val="Avenir Next LT Pro Light"/>
        <family val="2"/>
      </rPr>
      <t>3.2% of total impact fees. Applied only to credit card payments.</t>
    </r>
  </si>
  <si>
    <t>PROPOSED (SQ.FT.)</t>
  </si>
  <si>
    <t>EXISTING (SQ.FT.)</t>
  </si>
  <si>
    <r>
      <t xml:space="preserve">TOTAL ESTIMATED FEE:                         </t>
    </r>
    <r>
      <rPr>
        <sz val="12"/>
        <color theme="1"/>
        <rFont val="Avenir Next LT Pro Light"/>
        <family val="2"/>
      </rPr>
      <t>Total estimated fee due, including 3.2% credit card fee if applicable</t>
    </r>
  </si>
  <si>
    <t>RETAIL/
COMMERCIAL</t>
  </si>
  <si>
    <t>SQ.FT.</t>
  </si>
  <si>
    <t xml:space="preserve">PERCENT </t>
  </si>
  <si>
    <t>GENERAL GOVERNMENT</t>
  </si>
  <si>
    <t>EMERGENCY SERVICES</t>
  </si>
  <si>
    <t>FRENCHTOWN FIRE</t>
  </si>
  <si>
    <t>Total Sq.Ft.</t>
  </si>
  <si>
    <r>
      <t>Residential Sq.Ft. Determination (</t>
    </r>
    <r>
      <rPr>
        <b/>
        <sz val="11"/>
        <color theme="1"/>
        <rFont val="Calibri"/>
        <family val="2"/>
        <scheme val="minor"/>
      </rPr>
      <t>Total Sq.Ft.</t>
    </r>
    <r>
      <rPr>
        <sz val="11"/>
        <color theme="1"/>
        <rFont val="Calibri"/>
        <family val="2"/>
        <scheme val="minor"/>
      </rPr>
      <t>)</t>
    </r>
  </si>
  <si>
    <r>
      <t>Residential Sq.Ft. Determination (</t>
    </r>
    <r>
      <rPr>
        <b/>
        <sz val="11"/>
        <color theme="1"/>
        <rFont val="Calibri"/>
        <family val="2"/>
        <scheme val="minor"/>
      </rPr>
      <t>Existing Sq.Ft.</t>
    </r>
    <r>
      <rPr>
        <sz val="11"/>
        <color theme="1"/>
        <rFont val="Calibri"/>
        <family val="2"/>
        <scheme val="minor"/>
      </rPr>
      <t>)</t>
    </r>
  </si>
  <si>
    <t>Difference</t>
  </si>
  <si>
    <t>Proposed Sq.Ft. Determination</t>
  </si>
  <si>
    <t>Existing Sq.Ft. Determination</t>
  </si>
  <si>
    <t>RETAIL/COMMERCIAL</t>
  </si>
  <si>
    <t>NON-RESIDENTIAL TOTAL</t>
  </si>
  <si>
    <t>Total Additional Sq.Ft.</t>
  </si>
  <si>
    <t>Total New (Additional Sq.Ft.)</t>
  </si>
  <si>
    <t>LOCATED WITHIN MISSOULA COUNTY AND CITY OF MISSOULA</t>
  </si>
  <si>
    <t>COUNTY SHERIFF</t>
  </si>
  <si>
    <t>CITY IMPACT FEES COMBINED (per 1,000 sq.ft.)</t>
  </si>
  <si>
    <t>LOCATED WITHIN CENTRAL MISSOULA SERVICE AREA AND CITY OF MISSOULA</t>
  </si>
  <si>
    <t xml:space="preserve">COUNTY SHERIFF </t>
  </si>
  <si>
    <t>COUNTY SHARED USE PATHS</t>
  </si>
  <si>
    <t>CITY IMPACT FEES COMBINED</t>
  </si>
  <si>
    <t>NONRESIDENTIAL</t>
  </si>
  <si>
    <t>EMERGENCY MANAGEMENT</t>
  </si>
  <si>
    <t>FRENCHTOWN FIRE DISTRICT</t>
  </si>
  <si>
    <t>Residential &lt;750</t>
  </si>
  <si>
    <r>
      <rPr>
        <sz val="11"/>
        <color theme="1"/>
        <rFont val="Calibri"/>
        <family val="2"/>
      </rPr>
      <t>≤</t>
    </r>
    <r>
      <rPr>
        <sz val="11"/>
        <color theme="1"/>
        <rFont val="Calibri"/>
        <family val="2"/>
        <scheme val="minor"/>
      </rPr>
      <t>750</t>
    </r>
  </si>
  <si>
    <t>751-1000</t>
  </si>
  <si>
    <t>1001-1250</t>
  </si>
  <si>
    <t>1251-1500</t>
  </si>
  <si>
    <t>1501-1750</t>
  </si>
  <si>
    <t>1751-2000</t>
  </si>
  <si>
    <t>2001-2250</t>
  </si>
  <si>
    <t>2251-2500</t>
  </si>
  <si>
    <t>2501-2750</t>
  </si>
  <si>
    <t>2751-3000</t>
  </si>
  <si>
    <t>3001-3250</t>
  </si>
  <si>
    <t>3251-3500</t>
  </si>
  <si>
    <t>3501-3750</t>
  </si>
  <si>
    <t>3751-4000</t>
  </si>
  <si>
    <t>4001+</t>
  </si>
  <si>
    <t>SHARED-USE PATH</t>
  </si>
  <si>
    <t>Central Missoula</t>
  </si>
  <si>
    <t>Lolo</t>
  </si>
  <si>
    <t>Seeley</t>
  </si>
  <si>
    <t>Residential</t>
  </si>
  <si>
    <t>CREDIT CARD</t>
  </si>
  <si>
    <t>CREDIT CARD FEE</t>
  </si>
  <si>
    <t>Yes</t>
  </si>
  <si>
    <t>SERVICE AREA</t>
  </si>
  <si>
    <t>SQ.FT. FROM</t>
  </si>
  <si>
    <t>SQ.FT. TO</t>
  </si>
  <si>
    <t>TRANSPORTATION
SHARED USE PATHS</t>
  </si>
  <si>
    <t>EMERGENCY 
MANAGEMENT</t>
  </si>
  <si>
    <t>FRENCHTOWN
FIRE</t>
  </si>
  <si>
    <t>FRENCHTOWN 
FIRE</t>
  </si>
  <si>
    <t>TRANSPORTATION SHARED USE PATH:</t>
  </si>
  <si>
    <t>COUNTY EMERGENCY 
MANAGEMENT</t>
  </si>
  <si>
    <t>TRANSPORTATION SHARED-USE PATH</t>
  </si>
  <si>
    <t>Bonner</t>
  </si>
  <si>
    <r>
      <t xml:space="preserve">Complete </t>
    </r>
    <r>
      <rPr>
        <b/>
        <sz val="18"/>
        <color theme="1"/>
        <rFont val="Calibri"/>
        <family val="2"/>
        <scheme val="minor"/>
      </rPr>
      <t>all</t>
    </r>
    <r>
      <rPr>
        <sz val="18"/>
        <color theme="1"/>
        <rFont val="Calibri"/>
        <family val="2"/>
        <scheme val="minor"/>
      </rPr>
      <t xml:space="preserve"> Section A and C by selecting an answer in the green box. </t>
    </r>
  </si>
  <si>
    <t>Mixed</t>
  </si>
  <si>
    <r>
      <t xml:space="preserve">PER RESOLUTION 2025-105 </t>
    </r>
    <r>
      <rPr>
        <sz val="16"/>
        <color rgb="FF395F6F"/>
        <rFont val="Avenir Next LT Pro"/>
        <family val="2"/>
      </rPr>
      <t>Impact fees apply to all new developments (commercial, industrial, institutional, office and residential).</t>
    </r>
  </si>
  <si>
    <t>LOCATED WITHIN MISSOULA COUNTY - OUTSIDE FRENCHTOWN RURAL FIRE DISTRICT
*Fees are per 1,000 square feet</t>
  </si>
  <si>
    <t>LOCATED WITHIN FRENCHTOWN RURAL FIRE DISTRICT
*Fees are per 1,000 square feet</t>
  </si>
  <si>
    <r>
      <t xml:space="preserve">IMPACT FEE SCHEDULE
</t>
    </r>
    <r>
      <rPr>
        <b/>
        <sz val="11"/>
        <color rgb="FF395F6F"/>
        <rFont val="Avenir Next LT Pro"/>
        <family val="2"/>
      </rPr>
      <t>Effective October 1, 2025</t>
    </r>
    <r>
      <rPr>
        <sz val="11"/>
        <color rgb="FF395F6F"/>
        <rFont val="Avenir Next LT Pro"/>
        <family val="2"/>
      </rPr>
      <t xml:space="preserve">
Amended December 18, 2025</t>
    </r>
    <r>
      <rPr>
        <b/>
        <sz val="16"/>
        <color rgb="FF395F6F"/>
        <rFont val="Avenir Next LT Pro"/>
        <family val="2"/>
      </rPr>
      <t xml:space="preserve">
</t>
    </r>
    <r>
      <rPr>
        <sz val="11"/>
        <color rgb="FF395F6F"/>
        <rFont val="Avenir Next LT Pro"/>
        <family val="2"/>
      </rPr>
      <t>*does not include card processing fee if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</si>
</sst>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38" x14ac:knownFonts="1">
    <font>
      <sz val="11"/>
      <color theme="1"/>
      <name val="Calibri"/>
      <family val="2"/>
      <scheme val="minor"/>
    </font>
    <font>
      <b/>
      <sz val="11"/>
      <color theme="1"/>
      <name val="Calibri"/>
      <family val="2"/>
      <scheme val="minor"/>
    </font>
    <font>
      <b/>
      <sz val="16"/>
      <color rgb="FF395F6F"/>
      <name val="Avenir Next LT Pro"/>
      <family val="2"/>
    </font>
    <font>
      <b/>
      <sz val="14"/>
      <color rgb="FFACB55C"/>
      <name val="Avenir Next LT Pro"/>
      <family val="2"/>
    </font>
    <font>
      <sz val="11"/>
      <name val="Calibri"/>
      <family val="2"/>
      <scheme val="minor"/>
    </font>
    <font>
      <b/>
      <sz val="12"/>
      <color theme="1"/>
      <name val="Avenir Next LT Pro"/>
      <family val="2"/>
    </font>
    <font>
      <sz val="11"/>
      <color rgb="FF395F6F"/>
      <name val="Avenir Next LT Pro"/>
      <family val="2"/>
    </font>
    <font>
      <sz val="11"/>
      <color theme="1"/>
      <name val="Calibri"/>
      <family val="2"/>
    </font>
    <font>
      <sz val="11"/>
      <color theme="1"/>
      <name val="Avenir Next LT Pro Light"/>
      <family val="2"/>
    </font>
    <font>
      <sz val="16"/>
      <color rgb="FF395F6F"/>
      <name val="Avenir Next LT Pro"/>
      <family val="2"/>
    </font>
    <font>
      <sz val="10"/>
      <color rgb="FF395F6F"/>
      <name val="Avenir Next LT Pro"/>
      <family val="2"/>
    </font>
    <font>
      <b/>
      <sz val="10"/>
      <color rgb="FF395F6F"/>
      <name val="Avenir Next LT Pro"/>
      <family val="2"/>
    </font>
    <font>
      <b/>
      <sz val="11"/>
      <color theme="0"/>
      <name val="Calibri"/>
      <family val="2"/>
      <scheme val="minor"/>
    </font>
    <font>
      <u/>
      <sz val="11"/>
      <color theme="10"/>
      <name val="Calibri"/>
      <family val="2"/>
      <scheme val="minor"/>
    </font>
    <font>
      <b/>
      <sz val="11"/>
      <color theme="1"/>
      <name val="Avenir Next LT Pro Light"/>
      <family val="2"/>
    </font>
    <font>
      <b/>
      <sz val="11"/>
      <color theme="0"/>
      <name val="Avenir Next LT Pro Light"/>
      <family val="2"/>
    </font>
    <font>
      <b/>
      <sz val="16"/>
      <color theme="1"/>
      <name val="Avenir Next LT Pro"/>
      <family val="2"/>
    </font>
    <font>
      <sz val="12"/>
      <color theme="1"/>
      <name val="Calibri"/>
      <family val="2"/>
      <scheme val="minor"/>
    </font>
    <font>
      <sz val="14"/>
      <color theme="1"/>
      <name val="Calibri"/>
      <family val="2"/>
      <scheme val="minor"/>
    </font>
    <font>
      <sz val="18"/>
      <color theme="1"/>
      <name val="Calibri"/>
      <family val="2"/>
      <scheme val="minor"/>
    </font>
    <font>
      <sz val="20"/>
      <color theme="0"/>
      <name val="Avenir Next LT Pro"/>
      <family val="2"/>
    </font>
    <font>
      <b/>
      <u/>
      <sz val="14"/>
      <color theme="4"/>
      <name val="Calibri"/>
      <family val="2"/>
      <scheme val="minor"/>
    </font>
    <font>
      <b/>
      <sz val="20"/>
      <color theme="0"/>
      <name val="Avenir Next LT Pro Light"/>
      <family val="2"/>
    </font>
    <font>
      <u/>
      <sz val="14"/>
      <color theme="10"/>
      <name val="Calibri"/>
      <family val="2"/>
      <scheme val="minor"/>
    </font>
    <font>
      <b/>
      <sz val="12"/>
      <color theme="1"/>
      <name val="Calibri"/>
      <family val="2"/>
      <scheme val="minor"/>
    </font>
    <font>
      <sz val="9"/>
      <color theme="1"/>
      <name val="Calibri"/>
      <family val="2"/>
      <scheme val="minor"/>
    </font>
    <font>
      <sz val="11"/>
      <name val="Avenir Next LT Pro"/>
      <family val="2"/>
    </font>
    <font>
      <b/>
      <sz val="14"/>
      <color theme="0"/>
      <name val="Calibri"/>
      <family val="2"/>
      <scheme val="minor"/>
    </font>
    <font>
      <b/>
      <sz val="12"/>
      <color theme="1"/>
      <name val="Avenir Next LT Pro Light"/>
      <family val="2"/>
    </font>
    <font>
      <sz val="12"/>
      <color theme="1"/>
      <name val="Avenir Next LT Pro Light"/>
      <family val="2"/>
    </font>
    <font>
      <sz val="16"/>
      <color theme="1"/>
      <name val="Calibri"/>
      <family val="2"/>
      <scheme val="minor"/>
    </font>
    <font>
      <b/>
      <sz val="11"/>
      <color rgb="FF000000"/>
      <name val="Avenir Next LT Pro Light"/>
      <family val="2"/>
    </font>
    <font>
      <b/>
      <sz val="12"/>
      <color rgb="FF000000"/>
      <name val="Avenir Next LT Pro Light"/>
      <family val="2"/>
    </font>
    <font>
      <sz val="12"/>
      <color rgb="FF000000"/>
      <name val="Avenir Next LT Pro Light"/>
      <family val="2"/>
    </font>
    <font>
      <b/>
      <strike/>
      <sz val="11"/>
      <color theme="1"/>
      <name val="Calibri"/>
      <family val="2"/>
      <scheme val="minor"/>
    </font>
    <font>
      <strike/>
      <sz val="11"/>
      <color theme="1"/>
      <name val="Calibri"/>
      <family val="2"/>
      <scheme val="minor"/>
    </font>
    <font>
      <b/>
      <sz val="18"/>
      <color theme="1"/>
      <name val="Calibri"/>
      <family val="2"/>
      <scheme val="minor"/>
    </font>
    <font>
      <b/>
      <sz val="11"/>
      <color rgb="FF395F6F"/>
      <name val="Avenir Next LT Pro"/>
      <family val="2"/>
    </font>
  </fonts>
  <fills count="10">
    <fill>
      <patternFill patternType="none"/>
    </fill>
    <fill>
      <patternFill patternType="gray125"/>
    </fill>
    <fill>
      <patternFill patternType="solid">
        <fgColor rgb="FFACB55C"/>
        <bgColor indexed="64"/>
      </patternFill>
    </fill>
    <fill>
      <patternFill patternType="solid">
        <fgColor rgb="FFE3E1DC"/>
        <bgColor indexed="64"/>
      </patternFill>
    </fill>
    <fill>
      <patternFill patternType="solid">
        <fgColor rgb="FF688898"/>
        <bgColor indexed="64"/>
      </patternFill>
    </fill>
    <fill>
      <patternFill patternType="solid">
        <fgColor rgb="FF38444B"/>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C9A978"/>
        <bgColor indexed="64"/>
      </patternFill>
    </fill>
  </fills>
  <borders count="31">
    <border>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s>
  <cellStyleXfs count="2">
    <xf numFmtId="0" fontId="0" fillId="0" borderId="0"/>
    <xf numFmtId="0" fontId="13" fillId="0" borderId="0" applyNumberFormat="0" applyFill="0" applyBorder="0" applyAlignment="0" applyProtection="0"/>
  </cellStyleXfs>
  <cellXfs count="189">
    <xf numFmtId="0" fontId="0" fillId="0" borderId="0" xfId="0"/>
    <xf numFmtId="164" fontId="0" fillId="0" borderId="0" xfId="0" applyNumberFormat="1"/>
    <xf numFmtId="0" fontId="2" fillId="0" borderId="0" xfId="0" applyFont="1" applyAlignment="1">
      <alignment vertical="center"/>
    </xf>
    <xf numFmtId="0" fontId="3" fillId="0" borderId="0" xfId="0" applyFont="1"/>
    <xf numFmtId="0" fontId="1" fillId="0" borderId="0" xfId="0" applyFont="1" applyAlignment="1">
      <alignment horizontal="center"/>
    </xf>
    <xf numFmtId="165" fontId="0" fillId="0" borderId="1" xfId="0" applyNumberFormat="1" applyBorder="1"/>
    <xf numFmtId="0" fontId="1" fillId="0" borderId="2" xfId="0" applyFont="1" applyBorder="1" applyAlignment="1">
      <alignment horizontal="center"/>
    </xf>
    <xf numFmtId="0" fontId="1" fillId="0" borderId="3" xfId="0" applyFont="1" applyBorder="1" applyAlignment="1">
      <alignment horizontal="center"/>
    </xf>
    <xf numFmtId="0" fontId="1" fillId="0" borderId="3" xfId="0" applyFont="1" applyBorder="1" applyAlignment="1">
      <alignment horizontal="center" wrapText="1"/>
    </xf>
    <xf numFmtId="0" fontId="1" fillId="0" borderId="4" xfId="0" applyFont="1" applyBorder="1" applyAlignment="1">
      <alignment horizontal="center" wrapText="1"/>
    </xf>
    <xf numFmtId="0" fontId="0" fillId="0" borderId="5" xfId="0" applyBorder="1"/>
    <xf numFmtId="165" fontId="0" fillId="0" borderId="6" xfId="0" applyNumberFormat="1" applyBorder="1"/>
    <xf numFmtId="0" fontId="0" fillId="0" borderId="7" xfId="0" applyBorder="1"/>
    <xf numFmtId="165" fontId="0" fillId="0" borderId="8" xfId="0" applyNumberFormat="1" applyBorder="1"/>
    <xf numFmtId="165" fontId="0" fillId="0" borderId="9" xfId="0" applyNumberFormat="1" applyBorder="1"/>
    <xf numFmtId="164" fontId="1" fillId="0" borderId="3" xfId="0" applyNumberFormat="1" applyFont="1" applyBorder="1" applyAlignment="1">
      <alignment horizontal="center" wrapText="1"/>
    </xf>
    <xf numFmtId="164" fontId="0" fillId="0" borderId="1" xfId="0" applyNumberFormat="1" applyBorder="1"/>
    <xf numFmtId="164" fontId="1" fillId="0" borderId="3" xfId="0" applyNumberFormat="1" applyFont="1" applyBorder="1" applyAlignment="1">
      <alignment horizontal="center"/>
    </xf>
    <xf numFmtId="164" fontId="0" fillId="0" borderId="8" xfId="0" applyNumberFormat="1" applyBorder="1"/>
    <xf numFmtId="0" fontId="1" fillId="0" borderId="2" xfId="0" applyFont="1" applyBorder="1" applyAlignment="1">
      <alignment horizontal="center" wrapText="1"/>
    </xf>
    <xf numFmtId="0" fontId="0" fillId="0" borderId="0" xfId="0" applyAlignment="1">
      <alignment wrapText="1"/>
    </xf>
    <xf numFmtId="0" fontId="8" fillId="0" borderId="0" xfId="0" applyFont="1"/>
    <xf numFmtId="0" fontId="2" fillId="0" borderId="0" xfId="0" applyFont="1" applyAlignment="1">
      <alignment vertical="center" wrapText="1"/>
    </xf>
    <xf numFmtId="0" fontId="0" fillId="0" borderId="0" xfId="0" applyAlignment="1">
      <alignment horizontal="left"/>
    </xf>
    <xf numFmtId="4" fontId="0" fillId="0" borderId="0" xfId="0" applyNumberFormat="1"/>
    <xf numFmtId="3" fontId="0" fillId="0" borderId="0" xfId="0" applyNumberFormat="1"/>
    <xf numFmtId="0" fontId="1" fillId="0" borderId="0" xfId="0" applyFont="1"/>
    <xf numFmtId="10" fontId="0" fillId="0" borderId="0" xfId="0" applyNumberFormat="1"/>
    <xf numFmtId="0" fontId="0" fillId="0" borderId="0" xfId="0" applyProtection="1">
      <protection hidden="1"/>
    </xf>
    <xf numFmtId="164" fontId="0" fillId="0" borderId="0" xfId="0" applyNumberFormat="1" applyProtection="1">
      <protection hidden="1"/>
    </xf>
    <xf numFmtId="0" fontId="15" fillId="0" borderId="0" xfId="0" applyFont="1" applyAlignment="1" applyProtection="1">
      <alignment vertical="center" wrapText="1"/>
      <protection hidden="1"/>
    </xf>
    <xf numFmtId="0" fontId="1" fillId="0" borderId="0" xfId="0" applyFont="1" applyProtection="1">
      <protection hidden="1"/>
    </xf>
    <xf numFmtId="0" fontId="14" fillId="0" borderId="0" xfId="0" applyFont="1" applyAlignment="1" applyProtection="1">
      <alignment horizontal="right"/>
      <protection hidden="1"/>
    </xf>
    <xf numFmtId="0" fontId="14" fillId="0" borderId="21" xfId="0" applyFont="1" applyBorder="1" applyProtection="1">
      <protection hidden="1"/>
    </xf>
    <xf numFmtId="0" fontId="0" fillId="0" borderId="15" xfId="0" applyBorder="1" applyProtection="1">
      <protection hidden="1"/>
    </xf>
    <xf numFmtId="164" fontId="0" fillId="0" borderId="19" xfId="0" applyNumberFormat="1" applyBorder="1" applyProtection="1">
      <protection hidden="1"/>
    </xf>
    <xf numFmtId="0" fontId="14" fillId="0" borderId="19" xfId="0" applyFont="1" applyBorder="1" applyProtection="1">
      <protection hidden="1"/>
    </xf>
    <xf numFmtId="0" fontId="0" fillId="0" borderId="16" xfId="0" applyBorder="1" applyProtection="1">
      <protection hidden="1"/>
    </xf>
    <xf numFmtId="164" fontId="12" fillId="6" borderId="0" xfId="0" applyNumberFormat="1" applyFont="1" applyFill="1" applyAlignment="1" applyProtection="1">
      <alignment horizontal="center" vertical="center"/>
      <protection hidden="1"/>
    </xf>
    <xf numFmtId="0" fontId="0" fillId="0" borderId="19" xfId="0" applyBorder="1" applyProtection="1">
      <protection hidden="1"/>
    </xf>
    <xf numFmtId="14" fontId="0" fillId="0" borderId="0" xfId="0" applyNumberFormat="1" applyProtection="1">
      <protection hidden="1"/>
    </xf>
    <xf numFmtId="0" fontId="0" fillId="0" borderId="0" xfId="0" applyAlignment="1">
      <alignment horizontal="left" vertical="center" wrapText="1"/>
    </xf>
    <xf numFmtId="0" fontId="0" fillId="0" borderId="22" xfId="0" applyBorder="1" applyProtection="1">
      <protection hidden="1"/>
    </xf>
    <xf numFmtId="0" fontId="14" fillId="0" borderId="16" xfId="0" applyFont="1" applyBorder="1" applyAlignment="1" applyProtection="1">
      <alignment horizontal="right"/>
      <protection hidden="1"/>
    </xf>
    <xf numFmtId="14" fontId="0" fillId="0" borderId="16" xfId="0" applyNumberFormat="1" applyBorder="1" applyProtection="1">
      <protection hidden="1"/>
    </xf>
    <xf numFmtId="0" fontId="14" fillId="0" borderId="19" xfId="0" applyFont="1" applyBorder="1" applyAlignment="1" applyProtection="1">
      <alignment horizontal="right" vertical="center" wrapText="1"/>
      <protection hidden="1"/>
    </xf>
    <xf numFmtId="0" fontId="0" fillId="0" borderId="18" xfId="0" applyBorder="1" applyProtection="1">
      <protection hidden="1"/>
    </xf>
    <xf numFmtId="164" fontId="12" fillId="0" borderId="18" xfId="0" applyNumberFormat="1" applyFont="1" applyBorder="1" applyAlignment="1" applyProtection="1">
      <alignment horizontal="center" vertical="center"/>
      <protection hidden="1"/>
    </xf>
    <xf numFmtId="0" fontId="25" fillId="0" borderId="19" xfId="0" applyFont="1" applyBorder="1" applyAlignment="1" applyProtection="1">
      <alignment vertical="top"/>
      <protection hidden="1"/>
    </xf>
    <xf numFmtId="164" fontId="27" fillId="4" borderId="13" xfId="0" applyNumberFormat="1" applyFont="1" applyFill="1" applyBorder="1" applyAlignment="1" applyProtection="1">
      <alignment horizontal="center" vertical="center"/>
      <protection hidden="1"/>
    </xf>
    <xf numFmtId="164" fontId="12" fillId="0" borderId="18" xfId="0" applyNumberFormat="1" applyFont="1" applyBorder="1" applyAlignment="1" applyProtection="1">
      <alignment vertical="center"/>
      <protection hidden="1"/>
    </xf>
    <xf numFmtId="0" fontId="17" fillId="0" borderId="13" xfId="0" applyFont="1" applyBorder="1" applyAlignment="1" applyProtection="1">
      <alignment horizontal="center" vertical="center" wrapText="1"/>
      <protection locked="0" hidden="1"/>
    </xf>
    <xf numFmtId="0" fontId="19" fillId="0" borderId="0" xfId="0" applyFont="1" applyProtection="1">
      <protection hidden="1"/>
    </xf>
    <xf numFmtId="0" fontId="0" fillId="0" borderId="0" xfId="0" applyAlignment="1" applyProtection="1">
      <alignment vertical="top" wrapText="1"/>
      <protection hidden="1"/>
    </xf>
    <xf numFmtId="0" fontId="0" fillId="0" borderId="0" xfId="0" applyAlignment="1" applyProtection="1">
      <alignment horizontal="center" wrapText="1"/>
      <protection hidden="1"/>
    </xf>
    <xf numFmtId="0" fontId="16" fillId="0" borderId="0" xfId="0" applyFont="1" applyAlignment="1">
      <alignment vertical="center" wrapText="1"/>
    </xf>
    <xf numFmtId="0" fontId="0" fillId="0" borderId="0" xfId="0" applyAlignment="1">
      <alignment vertical="center" wrapText="1"/>
    </xf>
    <xf numFmtId="0" fontId="1" fillId="0" borderId="0" xfId="0" applyFont="1" applyAlignment="1">
      <alignment wrapText="1"/>
    </xf>
    <xf numFmtId="0" fontId="1" fillId="0" borderId="0" xfId="0" applyFont="1" applyAlignment="1">
      <alignment horizontal="center" wrapText="1"/>
    </xf>
    <xf numFmtId="0" fontId="0" fillId="7" borderId="0" xfId="0" applyFill="1"/>
    <xf numFmtId="10" fontId="0" fillId="7" borderId="0" xfId="0" applyNumberFormat="1" applyFill="1"/>
    <xf numFmtId="164" fontId="0" fillId="7" borderId="0" xfId="0" applyNumberFormat="1" applyFill="1"/>
    <xf numFmtId="0" fontId="0" fillId="8" borderId="0" xfId="0" applyFill="1"/>
    <xf numFmtId="10" fontId="0" fillId="8" borderId="0" xfId="0" applyNumberFormat="1" applyFill="1"/>
    <xf numFmtId="164" fontId="0" fillId="8" borderId="0" xfId="0" applyNumberFormat="1" applyFill="1"/>
    <xf numFmtId="0" fontId="1" fillId="8" borderId="0" xfId="0" applyFont="1" applyFill="1"/>
    <xf numFmtId="0" fontId="1" fillId="7" borderId="0" xfId="0" applyFont="1" applyFill="1"/>
    <xf numFmtId="10" fontId="1" fillId="7" borderId="0" xfId="0" applyNumberFormat="1" applyFont="1" applyFill="1"/>
    <xf numFmtId="164" fontId="1" fillId="7" borderId="0" xfId="0" applyNumberFormat="1" applyFont="1" applyFill="1"/>
    <xf numFmtId="10" fontId="1" fillId="8" borderId="0" xfId="0" applyNumberFormat="1" applyFont="1" applyFill="1"/>
    <xf numFmtId="164" fontId="1" fillId="8" borderId="0" xfId="0" applyNumberFormat="1" applyFont="1" applyFill="1"/>
    <xf numFmtId="0" fontId="17" fillId="2" borderId="13" xfId="0" applyFont="1" applyFill="1" applyBorder="1" applyAlignment="1" applyProtection="1">
      <alignment horizontal="center" vertical="center" wrapText="1"/>
      <protection locked="0" hidden="1"/>
    </xf>
    <xf numFmtId="0" fontId="17" fillId="2" borderId="13" xfId="0" applyFont="1" applyFill="1" applyBorder="1" applyAlignment="1" applyProtection="1">
      <alignment horizontal="center" vertical="center"/>
      <protection locked="0" hidden="1"/>
    </xf>
    <xf numFmtId="0" fontId="10" fillId="0" borderId="0" xfId="0" applyFont="1" applyAlignment="1">
      <alignment horizontal="left" vertical="center" wrapText="1"/>
    </xf>
    <xf numFmtId="0" fontId="2" fillId="0" borderId="0" xfId="0" applyFont="1" applyAlignment="1">
      <alignment horizontal="left" vertical="center" wrapText="1"/>
    </xf>
    <xf numFmtId="0" fontId="11" fillId="0" borderId="0" xfId="0" applyFont="1" applyAlignment="1">
      <alignment horizontal="left" vertical="center" wrapText="1"/>
    </xf>
    <xf numFmtId="0" fontId="28" fillId="0" borderId="19" xfId="0" applyFont="1" applyBorder="1" applyAlignment="1" applyProtection="1">
      <alignment horizontal="right" vertical="center" wrapText="1"/>
      <protection hidden="1"/>
    </xf>
    <xf numFmtId="0" fontId="5" fillId="0" borderId="0" xfId="0" applyFont="1" applyAlignment="1">
      <alignment wrapText="1"/>
    </xf>
    <xf numFmtId="0" fontId="5" fillId="0" borderId="0" xfId="0" applyFont="1"/>
    <xf numFmtId="0" fontId="5" fillId="0" borderId="25" xfId="0" applyFont="1" applyBorder="1"/>
    <xf numFmtId="0" fontId="1" fillId="0" borderId="26" xfId="0" applyFont="1" applyBorder="1" applyAlignment="1">
      <alignment horizontal="center" wrapText="1"/>
    </xf>
    <xf numFmtId="165" fontId="0" fillId="0" borderId="27" xfId="0" applyNumberFormat="1" applyBorder="1"/>
    <xf numFmtId="165" fontId="0" fillId="0" borderId="28" xfId="0" applyNumberFormat="1" applyBorder="1"/>
    <xf numFmtId="165" fontId="4" fillId="0" borderId="27" xfId="0" applyNumberFormat="1" applyFont="1" applyBorder="1"/>
    <xf numFmtId="165" fontId="4" fillId="0" borderId="28" xfId="0" applyNumberFormat="1" applyFont="1" applyBorder="1"/>
    <xf numFmtId="164" fontId="4" fillId="0" borderId="18" xfId="0" applyNumberFormat="1" applyFont="1" applyBorder="1"/>
    <xf numFmtId="0" fontId="0" fillId="0" borderId="16" xfId="0" applyBorder="1"/>
    <xf numFmtId="164" fontId="0" fillId="0" borderId="16" xfId="0" applyNumberFormat="1" applyBorder="1"/>
    <xf numFmtId="164" fontId="4" fillId="0" borderId="20" xfId="0" applyNumberFormat="1" applyFont="1" applyBorder="1"/>
    <xf numFmtId="0" fontId="0" fillId="0" borderId="29" xfId="0" applyBorder="1"/>
    <xf numFmtId="0" fontId="1" fillId="0" borderId="10" xfId="0" applyFont="1" applyBorder="1" applyAlignment="1">
      <alignment wrapText="1"/>
    </xf>
    <xf numFmtId="0" fontId="0" fillId="0" borderId="11" xfId="0" applyBorder="1" applyAlignment="1">
      <alignment wrapText="1"/>
    </xf>
    <xf numFmtId="0" fontId="1" fillId="0" borderId="11" xfId="0" applyFont="1" applyBorder="1" applyAlignment="1">
      <alignment horizontal="center" wrapText="1"/>
    </xf>
    <xf numFmtId="0" fontId="1" fillId="0" borderId="12" xfId="0" applyFont="1" applyBorder="1" applyAlignment="1">
      <alignment horizontal="center" wrapText="1"/>
    </xf>
    <xf numFmtId="4" fontId="0" fillId="0" borderId="16" xfId="0" applyNumberFormat="1" applyBorder="1"/>
    <xf numFmtId="0" fontId="1" fillId="0" borderId="10" xfId="0" applyFont="1" applyBorder="1" applyAlignment="1">
      <alignment horizontal="left" wrapText="1"/>
    </xf>
    <xf numFmtId="0" fontId="0" fillId="0" borderId="30" xfId="0" applyBorder="1"/>
    <xf numFmtId="4" fontId="1" fillId="0" borderId="11" xfId="0" applyNumberFormat="1" applyFont="1" applyBorder="1" applyAlignment="1">
      <alignment horizontal="center" wrapText="1"/>
    </xf>
    <xf numFmtId="0" fontId="0" fillId="0" borderId="2" xfId="0" applyBorder="1"/>
    <xf numFmtId="4" fontId="0" fillId="0" borderId="15" xfId="0" applyNumberFormat="1" applyBorder="1"/>
    <xf numFmtId="164" fontId="0" fillId="0" borderId="15" xfId="0" applyNumberFormat="1" applyBorder="1"/>
    <xf numFmtId="164" fontId="0" fillId="0" borderId="17" xfId="0" applyNumberFormat="1" applyBorder="1"/>
    <xf numFmtId="164" fontId="0" fillId="0" borderId="18" xfId="0" applyNumberFormat="1" applyBorder="1"/>
    <xf numFmtId="164" fontId="0" fillId="0" borderId="20" xfId="0" applyNumberFormat="1" applyBorder="1"/>
    <xf numFmtId="0" fontId="34" fillId="0" borderId="11" xfId="0" applyFont="1" applyBorder="1" applyAlignment="1">
      <alignment horizontal="center" wrapText="1"/>
    </xf>
    <xf numFmtId="164" fontId="35" fillId="0" borderId="0" xfId="0" applyNumberFormat="1" applyFont="1"/>
    <xf numFmtId="164" fontId="35" fillId="0" borderId="16" xfId="0" applyNumberFormat="1" applyFont="1" applyBorder="1"/>
    <xf numFmtId="0" fontId="34" fillId="0" borderId="0" xfId="0" applyFont="1" applyAlignment="1">
      <alignment wrapText="1"/>
    </xf>
    <xf numFmtId="4" fontId="34" fillId="0" borderId="0" xfId="0" applyNumberFormat="1" applyFont="1" applyAlignment="1">
      <alignment horizontal="left" wrapText="1"/>
    </xf>
    <xf numFmtId="0" fontId="34" fillId="0" borderId="0" xfId="0" applyFont="1" applyAlignment="1">
      <alignment horizontal="center" wrapText="1"/>
    </xf>
    <xf numFmtId="0" fontId="35" fillId="0" borderId="0" xfId="0" applyFont="1"/>
    <xf numFmtId="4" fontId="35" fillId="0" borderId="0" xfId="0" applyNumberFormat="1" applyFont="1"/>
    <xf numFmtId="0" fontId="24" fillId="0" borderId="13" xfId="0" applyFont="1" applyBorder="1" applyAlignment="1" applyProtection="1">
      <alignment horizontal="left" vertical="center" wrapText="1"/>
      <protection hidden="1"/>
    </xf>
    <xf numFmtId="3" fontId="0" fillId="3" borderId="13" xfId="0" applyNumberFormat="1" applyFill="1" applyBorder="1" applyAlignment="1" applyProtection="1">
      <alignment vertical="center"/>
      <protection locked="0" hidden="1"/>
    </xf>
    <xf numFmtId="0" fontId="24" fillId="0" borderId="20" xfId="0" applyFont="1" applyBorder="1" applyAlignment="1" applyProtection="1">
      <alignment horizontal="left" vertical="center" wrapText="1"/>
      <protection hidden="1"/>
    </xf>
    <xf numFmtId="3" fontId="17" fillId="3" borderId="13" xfId="0" applyNumberFormat="1" applyFont="1" applyFill="1" applyBorder="1" applyAlignment="1" applyProtection="1">
      <alignment vertical="center"/>
      <protection locked="0" hidden="1"/>
    </xf>
    <xf numFmtId="0" fontId="18" fillId="2" borderId="13" xfId="0" applyFont="1" applyFill="1" applyBorder="1" applyAlignment="1" applyProtection="1">
      <alignment horizontal="center" vertical="center"/>
      <protection locked="0" hidden="1"/>
    </xf>
    <xf numFmtId="0" fontId="21" fillId="9" borderId="12" xfId="1" applyFont="1" applyFill="1" applyBorder="1" applyAlignment="1" applyProtection="1">
      <alignment horizontal="center" vertical="center"/>
      <protection locked="0" hidden="1"/>
    </xf>
    <xf numFmtId="0" fontId="23" fillId="2" borderId="12" xfId="1" applyFont="1" applyFill="1" applyBorder="1" applyAlignment="1" applyProtection="1">
      <alignment horizontal="center" vertical="center"/>
      <protection locked="0" hidden="1"/>
    </xf>
    <xf numFmtId="0" fontId="2" fillId="0" borderId="0" xfId="0" applyFont="1" applyAlignment="1">
      <alignment horizontal="center" vertical="center" wrapText="1"/>
    </xf>
    <xf numFmtId="0" fontId="5" fillId="0" borderId="10" xfId="0" applyFont="1" applyBorder="1" applyAlignment="1">
      <alignment horizontal="center" wrapText="1"/>
    </xf>
    <xf numFmtId="0" fontId="5" fillId="0" borderId="11" xfId="0" applyFont="1" applyBorder="1" applyAlignment="1">
      <alignment horizontal="center" wrapText="1"/>
    </xf>
    <xf numFmtId="0" fontId="5" fillId="0" borderId="24" xfId="0" applyFont="1" applyBorder="1" applyAlignment="1">
      <alignment horizontal="center" wrapText="1"/>
    </xf>
    <xf numFmtId="0" fontId="5" fillId="0" borderId="11" xfId="0" applyFont="1" applyBorder="1" applyAlignment="1">
      <alignment horizontal="center"/>
    </xf>
    <xf numFmtId="0" fontId="5" fillId="0" borderId="24" xfId="0" applyFont="1" applyBorder="1" applyAlignment="1">
      <alignment horizontal="center"/>
    </xf>
    <xf numFmtId="0" fontId="5" fillId="0" borderId="10" xfId="0" applyFont="1" applyBorder="1" applyAlignment="1">
      <alignment horizontal="center"/>
    </xf>
    <xf numFmtId="0" fontId="2" fillId="0" borderId="0" xfId="0" applyFont="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6" fillId="0" borderId="15"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0" xfId="0" applyFont="1" applyAlignment="1">
      <alignment horizontal="center" vertical="center" wrapText="1"/>
    </xf>
    <xf numFmtId="0" fontId="16" fillId="0" borderId="18" xfId="0" applyFont="1" applyBorder="1" applyAlignment="1">
      <alignment horizontal="center" vertical="center" wrapText="1"/>
    </xf>
    <xf numFmtId="0" fontId="18" fillId="0" borderId="0" xfId="0" applyFont="1" applyAlignment="1">
      <alignment horizontal="center" vertical="center" wrapText="1"/>
    </xf>
    <xf numFmtId="0" fontId="18" fillId="0" borderId="18"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20" xfId="0" applyFont="1" applyBorder="1" applyAlignment="1">
      <alignment horizontal="center" vertical="center" wrapText="1"/>
    </xf>
    <xf numFmtId="0" fontId="30" fillId="0" borderId="21" xfId="0" applyFont="1" applyBorder="1" applyAlignment="1" applyProtection="1">
      <alignment horizontal="center" wrapText="1"/>
      <protection hidden="1"/>
    </xf>
    <xf numFmtId="0" fontId="30" fillId="0" borderId="12" xfId="0" applyFont="1" applyBorder="1" applyAlignment="1" applyProtection="1">
      <alignment horizontal="center" wrapText="1"/>
      <protection hidden="1"/>
    </xf>
    <xf numFmtId="0" fontId="14" fillId="0" borderId="10" xfId="0" applyFont="1" applyBorder="1" applyAlignment="1" applyProtection="1">
      <alignment horizontal="center" vertical="center"/>
      <protection hidden="1"/>
    </xf>
    <xf numFmtId="0" fontId="14" fillId="0" borderId="12" xfId="0" applyFont="1" applyBorder="1" applyAlignment="1" applyProtection="1">
      <alignment horizontal="center" vertical="center"/>
      <protection hidden="1"/>
    </xf>
    <xf numFmtId="0" fontId="30" fillId="0" borderId="10" xfId="0" applyFont="1" applyBorder="1" applyAlignment="1" applyProtection="1">
      <alignment horizontal="center" vertical="center"/>
      <protection hidden="1"/>
    </xf>
    <xf numFmtId="0" fontId="30" fillId="0" borderId="11" xfId="0" applyFont="1" applyBorder="1" applyAlignment="1" applyProtection="1">
      <alignment horizontal="center" vertical="center"/>
      <protection hidden="1"/>
    </xf>
    <xf numFmtId="0" fontId="30" fillId="0" borderId="12" xfId="0" applyFont="1" applyBorder="1" applyAlignment="1" applyProtection="1">
      <alignment horizontal="center" vertical="center"/>
      <protection hidden="1"/>
    </xf>
    <xf numFmtId="0" fontId="20" fillId="4" borderId="21" xfId="0" applyFont="1" applyFill="1" applyBorder="1" applyAlignment="1">
      <alignment horizontal="center" vertical="center"/>
    </xf>
    <xf numFmtId="0" fontId="20" fillId="4" borderId="15" xfId="0" applyFont="1" applyFill="1" applyBorder="1" applyAlignment="1">
      <alignment horizontal="center" vertical="center"/>
    </xf>
    <xf numFmtId="0" fontId="20" fillId="4" borderId="17" xfId="0" applyFont="1" applyFill="1" applyBorder="1" applyAlignment="1">
      <alignment horizontal="center" vertical="center"/>
    </xf>
    <xf numFmtId="0" fontId="20" fillId="4" borderId="22" xfId="0" applyFont="1" applyFill="1" applyBorder="1" applyAlignment="1">
      <alignment horizontal="center" vertical="center"/>
    </xf>
    <xf numFmtId="0" fontId="20" fillId="4" borderId="16" xfId="0" applyFont="1" applyFill="1" applyBorder="1" applyAlignment="1">
      <alignment horizontal="center" vertical="center"/>
    </xf>
    <xf numFmtId="0" fontId="20" fillId="4" borderId="20" xfId="0" applyFont="1" applyFill="1" applyBorder="1" applyAlignment="1">
      <alignment horizontal="center" vertical="center"/>
    </xf>
    <xf numFmtId="0" fontId="22" fillId="5" borderId="21" xfId="0" applyFont="1" applyFill="1" applyBorder="1" applyAlignment="1" applyProtection="1">
      <alignment horizontal="center" vertical="center" wrapText="1"/>
      <protection hidden="1"/>
    </xf>
    <xf numFmtId="0" fontId="22" fillId="5" borderId="17" xfId="0" applyFont="1" applyFill="1" applyBorder="1" applyAlignment="1" applyProtection="1">
      <alignment horizontal="center" vertical="center" wrapText="1"/>
      <protection hidden="1"/>
    </xf>
    <xf numFmtId="0" fontId="22" fillId="5" borderId="22" xfId="0" applyFont="1" applyFill="1" applyBorder="1" applyAlignment="1" applyProtection="1">
      <alignment horizontal="center" vertical="center" wrapText="1"/>
      <protection hidden="1"/>
    </xf>
    <xf numFmtId="0" fontId="22" fillId="5" borderId="20" xfId="0" applyFont="1" applyFill="1" applyBorder="1" applyAlignment="1" applyProtection="1">
      <alignment horizontal="center" vertical="center" wrapText="1"/>
      <protection hidden="1"/>
    </xf>
    <xf numFmtId="0" fontId="19" fillId="2" borderId="21" xfId="0" applyFont="1" applyFill="1" applyBorder="1" applyAlignment="1" applyProtection="1">
      <alignment horizontal="center"/>
      <protection hidden="1"/>
    </xf>
    <xf numFmtId="0" fontId="19" fillId="2" borderId="15" xfId="0" applyFont="1" applyFill="1" applyBorder="1" applyAlignment="1" applyProtection="1">
      <alignment horizontal="center"/>
      <protection hidden="1"/>
    </xf>
    <xf numFmtId="0" fontId="19" fillId="2" borderId="17" xfId="0" applyFont="1" applyFill="1" applyBorder="1" applyAlignment="1" applyProtection="1">
      <alignment horizontal="center"/>
      <protection hidden="1"/>
    </xf>
    <xf numFmtId="0" fontId="19" fillId="2" borderId="22" xfId="0" applyFont="1" applyFill="1" applyBorder="1" applyAlignment="1" applyProtection="1">
      <alignment horizontal="center"/>
      <protection hidden="1"/>
    </xf>
    <xf numFmtId="0" fontId="19" fillId="2" borderId="16" xfId="0" applyFont="1" applyFill="1" applyBorder="1" applyAlignment="1" applyProtection="1">
      <alignment horizontal="center"/>
      <protection hidden="1"/>
    </xf>
    <xf numFmtId="0" fontId="19" fillId="2" borderId="20" xfId="0" applyFont="1" applyFill="1" applyBorder="1" applyAlignment="1" applyProtection="1">
      <alignment horizontal="center"/>
      <protection hidden="1"/>
    </xf>
    <xf numFmtId="0" fontId="28" fillId="0" borderId="19" xfId="0" applyFont="1" applyBorder="1" applyAlignment="1" applyProtection="1">
      <alignment horizontal="left" vertical="center" wrapText="1"/>
      <protection hidden="1"/>
    </xf>
    <xf numFmtId="0" fontId="28" fillId="0" borderId="22" xfId="0" applyFont="1" applyBorder="1" applyAlignment="1" applyProtection="1">
      <alignment horizontal="left" vertical="center" wrapText="1"/>
      <protection hidden="1"/>
    </xf>
    <xf numFmtId="164" fontId="27" fillId="5" borderId="17" xfId="0" applyNumberFormat="1" applyFont="1" applyFill="1" applyBorder="1" applyAlignment="1" applyProtection="1">
      <alignment horizontal="center" vertical="center"/>
      <protection hidden="1"/>
    </xf>
    <xf numFmtId="164" fontId="27" fillId="5" borderId="18" xfId="0" applyNumberFormat="1" applyFont="1" applyFill="1" applyBorder="1" applyAlignment="1" applyProtection="1">
      <alignment horizontal="center" vertical="center"/>
      <protection hidden="1"/>
    </xf>
    <xf numFmtId="164" fontId="27" fillId="5" borderId="20" xfId="0" applyNumberFormat="1" applyFont="1" applyFill="1" applyBorder="1" applyAlignment="1" applyProtection="1">
      <alignment horizontal="center" vertical="center"/>
      <protection hidden="1"/>
    </xf>
    <xf numFmtId="0" fontId="32" fillId="0" borderId="19" xfId="0" applyFont="1" applyBorder="1" applyAlignment="1" applyProtection="1">
      <alignment horizontal="center" vertical="top" wrapText="1"/>
      <protection hidden="1"/>
    </xf>
    <xf numFmtId="0" fontId="28" fillId="0" borderId="19" xfId="0" applyFont="1" applyBorder="1" applyAlignment="1" applyProtection="1">
      <alignment horizontal="center" vertical="top" wrapText="1"/>
      <protection hidden="1"/>
    </xf>
    <xf numFmtId="0" fontId="14" fillId="0" borderId="14" xfId="0" applyFont="1" applyBorder="1" applyAlignment="1" applyProtection="1">
      <alignment horizontal="center" vertical="center"/>
      <protection hidden="1"/>
    </xf>
    <xf numFmtId="0" fontId="14" fillId="0" borderId="23" xfId="0" applyFont="1" applyBorder="1" applyAlignment="1" applyProtection="1">
      <alignment horizontal="center" vertical="center"/>
      <protection hidden="1"/>
    </xf>
    <xf numFmtId="0" fontId="14" fillId="0" borderId="10" xfId="0" applyFont="1" applyBorder="1" applyAlignment="1" applyProtection="1">
      <alignment horizontal="left" vertical="center"/>
      <protection hidden="1"/>
    </xf>
    <xf numFmtId="0" fontId="14" fillId="0" borderId="12" xfId="0" applyFont="1" applyBorder="1" applyAlignment="1" applyProtection="1">
      <alignment horizontal="left" vertical="center"/>
      <protection hidden="1"/>
    </xf>
    <xf numFmtId="0" fontId="14" fillId="0" borderId="14" xfId="0" applyFont="1" applyBorder="1" applyAlignment="1" applyProtection="1">
      <alignment horizontal="center" vertical="center" wrapText="1"/>
      <protection hidden="1"/>
    </xf>
    <xf numFmtId="0" fontId="14" fillId="0" borderId="23" xfId="0" applyFont="1" applyBorder="1" applyAlignment="1" applyProtection="1">
      <alignment horizontal="center" vertical="center" wrapText="1"/>
      <protection hidden="1"/>
    </xf>
    <xf numFmtId="0" fontId="20" fillId="4" borderId="10" xfId="0" applyFont="1" applyFill="1" applyBorder="1" applyAlignment="1">
      <alignment horizontal="center" vertical="center"/>
    </xf>
    <xf numFmtId="0" fontId="20" fillId="4" borderId="11" xfId="0" applyFont="1" applyFill="1" applyBorder="1" applyAlignment="1">
      <alignment horizontal="center" vertical="center"/>
    </xf>
    <xf numFmtId="0" fontId="20" fillId="4" borderId="12" xfId="0" applyFont="1" applyFill="1" applyBorder="1" applyAlignment="1">
      <alignment horizontal="center" vertical="center"/>
    </xf>
    <xf numFmtId="0" fontId="26" fillId="0" borderId="10" xfId="0" applyFont="1" applyBorder="1" applyAlignment="1">
      <alignment horizontal="center" wrapText="1"/>
    </xf>
    <xf numFmtId="0" fontId="26" fillId="0" borderId="11" xfId="0" applyFont="1" applyBorder="1" applyAlignment="1">
      <alignment horizontal="center" wrapText="1"/>
    </xf>
    <xf numFmtId="0" fontId="26" fillId="0" borderId="12" xfId="0" applyFont="1" applyBorder="1" applyAlignment="1">
      <alignment horizontal="center" wrapText="1"/>
    </xf>
    <xf numFmtId="0" fontId="14" fillId="0" borderId="10" xfId="0" applyFont="1" applyBorder="1" applyAlignment="1" applyProtection="1">
      <alignment horizontal="left" vertical="center" wrapText="1"/>
      <protection hidden="1"/>
    </xf>
    <xf numFmtId="0" fontId="14" fillId="0" borderId="12" xfId="0" applyFont="1" applyBorder="1" applyAlignment="1" applyProtection="1">
      <alignment horizontal="left" vertical="center" wrapText="1"/>
      <protection hidden="1"/>
    </xf>
    <xf numFmtId="0" fontId="14" fillId="0" borderId="10" xfId="0" applyFont="1" applyBorder="1" applyAlignment="1" applyProtection="1">
      <alignment horizontal="center" vertical="center" wrapText="1"/>
      <protection hidden="1"/>
    </xf>
    <xf numFmtId="0" fontId="14" fillId="0" borderId="12" xfId="0" applyFont="1" applyBorder="1" applyAlignment="1" applyProtection="1">
      <alignment horizontal="center" vertical="center" wrapText="1"/>
      <protection hidden="1"/>
    </xf>
    <xf numFmtId="0" fontId="14" fillId="0" borderId="10" xfId="0" applyFont="1" applyBorder="1" applyAlignment="1" applyProtection="1">
      <alignment horizontal="right" vertical="center"/>
      <protection hidden="1"/>
    </xf>
    <xf numFmtId="0" fontId="14" fillId="0" borderId="12" xfId="0" applyFont="1" applyBorder="1" applyAlignment="1" applyProtection="1">
      <alignment horizontal="right" vertical="center"/>
      <protection hidden="1"/>
    </xf>
    <xf numFmtId="0" fontId="24" fillId="0" borderId="14" xfId="0" applyFont="1" applyBorder="1" applyAlignment="1" applyProtection="1">
      <alignment horizontal="left" vertical="center" wrapText="1"/>
      <protection hidden="1"/>
    </xf>
    <xf numFmtId="0" fontId="24" fillId="0" borderId="23" xfId="0" applyFont="1" applyBorder="1" applyAlignment="1" applyProtection="1">
      <alignment horizontal="left" vertical="center" wrapText="1"/>
      <protection hidden="1"/>
    </xf>
    <xf numFmtId="3" fontId="17" fillId="3" borderId="14" xfId="0" applyNumberFormat="1" applyFont="1" applyFill="1" applyBorder="1" applyAlignment="1" applyProtection="1">
      <alignment horizontal="center" vertical="center"/>
      <protection locked="0" hidden="1"/>
    </xf>
    <xf numFmtId="3" fontId="17" fillId="3" borderId="23" xfId="0" applyNumberFormat="1" applyFont="1" applyFill="1" applyBorder="1" applyAlignment="1" applyProtection="1">
      <alignment horizontal="center" vertical="center"/>
      <protection locked="0" hidden="1"/>
    </xf>
  </cellXfs>
  <cellStyles count="2">
    <cellStyle name="Hyperlink" xfId="1" builtinId="8"/>
    <cellStyle name="Normal" xfId="0" builtinId="0"/>
  </cellStyles>
  <dxfs count="5">
    <dxf>
      <fill>
        <patternFill>
          <bgColor rgb="FFACB55C"/>
        </patternFill>
      </fill>
    </dxf>
    <dxf>
      <fill>
        <patternFill>
          <bgColor rgb="FFACB55C"/>
        </patternFill>
      </fill>
    </dxf>
    <dxf>
      <fill>
        <patternFill>
          <bgColor rgb="FFACB55C"/>
        </patternFill>
      </fill>
    </dxf>
    <dxf>
      <fill>
        <patternFill>
          <bgColor rgb="FFACB55C"/>
        </patternFill>
      </fill>
    </dxf>
    <dxf>
      <fill>
        <patternFill>
          <bgColor rgb="FFACB55C"/>
        </patternFill>
      </fill>
    </dxf>
  </dxfs>
  <tableStyles count="0" defaultTableStyle="TableStyleMedium2" defaultPivotStyle="PivotStyleLight16"/>
  <colors>
    <mruColors>
      <color rgb="FFACB55C"/>
      <color rgb="FFC9A978"/>
      <color rgb="FFE3E1DC"/>
      <color rgb="FF688898"/>
      <color rgb="FFA45248"/>
      <color rgb="FF395F6F"/>
      <color rgb="FF38444B"/>
      <color rgb="FF5405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47625</xdr:rowOff>
    </xdr:from>
    <xdr:to>
      <xdr:col>3</xdr:col>
      <xdr:colOff>93345</xdr:colOff>
      <xdr:row>2</xdr:row>
      <xdr:rowOff>215265</xdr:rowOff>
    </xdr:to>
    <xdr:pic>
      <xdr:nvPicPr>
        <xdr:cNvPr id="2" name="Picture 1">
          <a:extLst>
            <a:ext uri="{FF2B5EF4-FFF2-40B4-BE49-F238E27FC236}">
              <a16:creationId xmlns:a16="http://schemas.microsoft.com/office/drawing/2014/main" id="{50059AE5-35E4-86DD-459D-291EBF8AC3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47625"/>
          <a:ext cx="3090545" cy="6400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237254</xdr:colOff>
      <xdr:row>0</xdr:row>
      <xdr:rowOff>24802</xdr:rowOff>
    </xdr:from>
    <xdr:to>
      <xdr:col>2</xdr:col>
      <xdr:colOff>617323</xdr:colOff>
      <xdr:row>5</xdr:row>
      <xdr:rowOff>189901</xdr:rowOff>
    </xdr:to>
    <xdr:pic>
      <xdr:nvPicPr>
        <xdr:cNvPr id="2" name="Picture 1">
          <a:extLst>
            <a:ext uri="{FF2B5EF4-FFF2-40B4-BE49-F238E27FC236}">
              <a16:creationId xmlns:a16="http://schemas.microsoft.com/office/drawing/2014/main" id="{B2AE3BAA-23CE-462B-8922-1B466DD8A9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7254" y="24802"/>
          <a:ext cx="2726394" cy="11175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47625</xdr:rowOff>
    </xdr:from>
    <xdr:to>
      <xdr:col>3</xdr:col>
      <xdr:colOff>379095</xdr:colOff>
      <xdr:row>3</xdr:row>
      <xdr:rowOff>116205</xdr:rowOff>
    </xdr:to>
    <xdr:pic>
      <xdr:nvPicPr>
        <xdr:cNvPr id="2" name="Picture 1">
          <a:extLst>
            <a:ext uri="{FF2B5EF4-FFF2-40B4-BE49-F238E27FC236}">
              <a16:creationId xmlns:a16="http://schemas.microsoft.com/office/drawing/2014/main" id="{10E6A7EA-6A9D-4FC4-AD0D-3DFEFAA29F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47625"/>
          <a:ext cx="3331845" cy="84010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xperience.arcgis.com/experience/031eee7bba9145c9b3a24b2974baf010/" TargetMode="External"/><Relationship Id="rId1" Type="http://schemas.openxmlformats.org/officeDocument/2006/relationships/hyperlink" Target="https://gis.missoulacounty.us/propertyinformation/?qgeo=04220029113060000"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4FBDB-BB4E-41C4-A6D6-D4D6208484E4}">
  <dimension ref="A1:H170"/>
  <sheetViews>
    <sheetView showGridLines="0" view="pageLayout" zoomScaleNormal="100" workbookViewId="0">
      <selection activeCell="F1" sqref="F1:H5"/>
    </sheetView>
  </sheetViews>
  <sheetFormatPr defaultRowHeight="14.4" x14ac:dyDescent="0.3"/>
  <cols>
    <col min="1" max="1" width="20.33203125" customWidth="1"/>
    <col min="2" max="2" width="10.5546875" style="1" customWidth="1"/>
    <col min="3" max="3" width="11.109375" style="1" customWidth="1"/>
    <col min="4" max="4" width="15.88671875" customWidth="1"/>
    <col min="5" max="5" width="19.6640625" customWidth="1"/>
    <col min="6" max="6" width="17.6640625" customWidth="1"/>
    <col min="7" max="7" width="10.44140625" customWidth="1"/>
    <col min="8" max="8" width="10.33203125" customWidth="1"/>
  </cols>
  <sheetData>
    <row r="1" spans="1:8" ht="18.600000000000001" customHeight="1" x14ac:dyDescent="0.3">
      <c r="F1" s="119" t="s">
        <v>141</v>
      </c>
      <c r="G1" s="119"/>
      <c r="H1" s="119"/>
    </row>
    <row r="2" spans="1:8" ht="18.600000000000001" customHeight="1" x14ac:dyDescent="0.3">
      <c r="F2" s="119"/>
      <c r="G2" s="119"/>
      <c r="H2" s="119"/>
    </row>
    <row r="3" spans="1:8" ht="18.600000000000001" customHeight="1" x14ac:dyDescent="0.3">
      <c r="F3" s="119"/>
      <c r="G3" s="119"/>
      <c r="H3" s="119"/>
    </row>
    <row r="4" spans="1:8" ht="18.600000000000001" customHeight="1" x14ac:dyDescent="0.3">
      <c r="F4" s="119"/>
      <c r="G4" s="119"/>
      <c r="H4" s="119"/>
    </row>
    <row r="5" spans="1:8" ht="18.600000000000001" customHeight="1" x14ac:dyDescent="0.3">
      <c r="F5" s="119"/>
      <c r="G5" s="119"/>
      <c r="H5" s="119"/>
    </row>
    <row r="6" spans="1:8" ht="15" customHeight="1" x14ac:dyDescent="0.3">
      <c r="H6" s="22"/>
    </row>
    <row r="7" spans="1:8" ht="15" customHeight="1" x14ac:dyDescent="0.3">
      <c r="A7" s="126" t="s">
        <v>138</v>
      </c>
      <c r="B7" s="126"/>
      <c r="C7" s="126"/>
      <c r="D7" s="126"/>
      <c r="E7" s="126"/>
      <c r="F7" s="126"/>
      <c r="G7" s="126"/>
      <c r="H7" s="126"/>
    </row>
    <row r="8" spans="1:8" ht="15" customHeight="1" x14ac:dyDescent="0.3">
      <c r="A8" s="126"/>
      <c r="B8" s="126"/>
      <c r="C8" s="126"/>
      <c r="D8" s="126"/>
      <c r="E8" s="126"/>
      <c r="F8" s="126"/>
      <c r="G8" s="126"/>
      <c r="H8" s="126"/>
    </row>
    <row r="9" spans="1:8" ht="15" customHeight="1" x14ac:dyDescent="0.3">
      <c r="A9" s="126"/>
      <c r="B9" s="126"/>
      <c r="C9" s="126"/>
      <c r="D9" s="126"/>
      <c r="E9" s="126"/>
      <c r="F9" s="126"/>
      <c r="G9" s="126"/>
      <c r="H9" s="126"/>
    </row>
    <row r="10" spans="1:8" ht="15" customHeight="1" x14ac:dyDescent="0.3">
      <c r="A10" s="22"/>
      <c r="B10" s="22"/>
      <c r="C10" s="22"/>
      <c r="D10" s="22"/>
      <c r="E10" s="22"/>
      <c r="F10" s="22"/>
      <c r="G10" s="22"/>
      <c r="H10" s="22"/>
    </row>
    <row r="11" spans="1:8" ht="15" customHeight="1" x14ac:dyDescent="0.3">
      <c r="A11" s="127" t="s">
        <v>1</v>
      </c>
      <c r="B11" s="127"/>
      <c r="C11" s="127"/>
      <c r="D11" s="127"/>
      <c r="E11" s="127"/>
      <c r="F11" s="127"/>
      <c r="G11" s="127"/>
      <c r="H11" s="127"/>
    </row>
    <row r="12" spans="1:8" ht="19.2" customHeight="1" x14ac:dyDescent="0.3">
      <c r="A12" s="127"/>
      <c r="B12" s="127"/>
      <c r="C12" s="127"/>
      <c r="D12" s="127"/>
      <c r="E12" s="127"/>
      <c r="F12" s="127"/>
      <c r="G12" s="127"/>
      <c r="H12" s="127"/>
    </row>
    <row r="13" spans="1:8" ht="15" customHeight="1" x14ac:dyDescent="0.3">
      <c r="A13" s="127" t="s">
        <v>2</v>
      </c>
      <c r="B13" s="127"/>
      <c r="C13" s="127"/>
      <c r="D13" s="127"/>
      <c r="E13" s="127"/>
      <c r="F13" s="127"/>
      <c r="G13" s="127"/>
      <c r="H13" s="127"/>
    </row>
    <row r="14" spans="1:8" ht="15" customHeight="1" x14ac:dyDescent="0.3">
      <c r="A14" s="127"/>
      <c r="B14" s="127"/>
      <c r="C14" s="127"/>
      <c r="D14" s="127"/>
      <c r="E14" s="127"/>
      <c r="F14" s="127"/>
      <c r="G14" s="127"/>
      <c r="H14" s="127"/>
    </row>
    <row r="15" spans="1:8" ht="15" customHeight="1" x14ac:dyDescent="0.3">
      <c r="A15" s="127" t="s">
        <v>3</v>
      </c>
      <c r="B15" s="127"/>
      <c r="C15" s="127"/>
      <c r="D15" s="127"/>
      <c r="E15" s="127"/>
      <c r="F15" s="127"/>
      <c r="G15" s="127"/>
      <c r="H15" s="127"/>
    </row>
    <row r="16" spans="1:8" ht="15" customHeight="1" x14ac:dyDescent="0.3">
      <c r="A16" s="128" t="s">
        <v>4</v>
      </c>
      <c r="B16" s="127" t="s">
        <v>5</v>
      </c>
      <c r="C16" s="127"/>
      <c r="D16" s="127"/>
      <c r="E16" s="127"/>
      <c r="F16" s="127"/>
      <c r="G16" s="127"/>
      <c r="H16" s="127"/>
    </row>
    <row r="17" spans="1:8" ht="15" customHeight="1" x14ac:dyDescent="0.3">
      <c r="A17" s="128"/>
      <c r="B17" s="127"/>
      <c r="C17" s="127"/>
      <c r="D17" s="127"/>
      <c r="E17" s="127"/>
      <c r="F17" s="127"/>
      <c r="G17" s="127"/>
      <c r="H17" s="127"/>
    </row>
    <row r="18" spans="1:8" ht="15" customHeight="1" x14ac:dyDescent="0.3">
      <c r="A18" s="23"/>
      <c r="B18" s="127"/>
      <c r="C18" s="127"/>
      <c r="D18" s="127"/>
      <c r="E18" s="127"/>
      <c r="F18" s="127"/>
      <c r="G18" s="127"/>
      <c r="H18" s="127"/>
    </row>
    <row r="19" spans="1:8" ht="15" customHeight="1" x14ac:dyDescent="0.3">
      <c r="A19" s="23"/>
      <c r="B19" s="127"/>
      <c r="C19" s="127"/>
      <c r="D19" s="127"/>
      <c r="E19" s="127"/>
      <c r="F19" s="127"/>
      <c r="G19" s="127"/>
      <c r="H19" s="127"/>
    </row>
    <row r="20" spans="1:8" ht="15" customHeight="1" x14ac:dyDescent="0.3">
      <c r="A20" s="75" t="s">
        <v>6</v>
      </c>
      <c r="B20" s="127" t="s">
        <v>7</v>
      </c>
      <c r="C20" s="127"/>
      <c r="D20" s="127"/>
      <c r="E20" s="127"/>
      <c r="F20" s="127"/>
      <c r="G20" s="127"/>
      <c r="H20" s="127"/>
    </row>
    <row r="21" spans="1:8" ht="15" customHeight="1" x14ac:dyDescent="0.3">
      <c r="A21" s="74"/>
      <c r="B21" s="127"/>
      <c r="C21" s="127"/>
      <c r="D21" s="127"/>
      <c r="E21" s="127"/>
      <c r="F21" s="127"/>
      <c r="G21" s="127"/>
      <c r="H21" s="127"/>
    </row>
    <row r="22" spans="1:8" ht="15" customHeight="1" x14ac:dyDescent="0.3">
      <c r="A22" s="74"/>
      <c r="B22" s="127"/>
      <c r="C22" s="127"/>
      <c r="D22" s="127"/>
      <c r="E22" s="127"/>
      <c r="F22" s="127"/>
      <c r="G22" s="127"/>
      <c r="H22" s="127"/>
    </row>
    <row r="23" spans="1:8" ht="15" customHeight="1" x14ac:dyDescent="0.3">
      <c r="A23" s="75" t="s">
        <v>8</v>
      </c>
      <c r="B23" s="127" t="s">
        <v>9</v>
      </c>
      <c r="C23" s="127"/>
      <c r="D23" s="127"/>
      <c r="E23" s="127"/>
      <c r="F23" s="127"/>
      <c r="G23" s="127"/>
      <c r="H23" s="127"/>
    </row>
    <row r="24" spans="1:8" ht="15" customHeight="1" x14ac:dyDescent="0.3">
      <c r="A24" s="23"/>
      <c r="B24" s="127"/>
      <c r="C24" s="127"/>
      <c r="D24" s="127"/>
      <c r="E24" s="127"/>
      <c r="F24" s="127"/>
      <c r="G24" s="127"/>
      <c r="H24" s="127"/>
    </row>
    <row r="25" spans="1:8" ht="15" customHeight="1" x14ac:dyDescent="0.3">
      <c r="A25" s="75" t="s">
        <v>10</v>
      </c>
      <c r="B25" s="127" t="s">
        <v>11</v>
      </c>
      <c r="C25" s="127"/>
      <c r="D25" s="127"/>
      <c r="E25" s="127"/>
      <c r="F25" s="127"/>
      <c r="G25" s="127"/>
      <c r="H25" s="127"/>
    </row>
    <row r="26" spans="1:8" ht="15" customHeight="1" x14ac:dyDescent="0.3">
      <c r="A26" s="23"/>
      <c r="B26" s="127"/>
      <c r="C26" s="127"/>
      <c r="D26" s="127"/>
      <c r="E26" s="127"/>
      <c r="F26" s="127"/>
      <c r="G26" s="127"/>
      <c r="H26" s="127"/>
    </row>
    <row r="27" spans="1:8" ht="15" customHeight="1" x14ac:dyDescent="0.3">
      <c r="A27" s="75" t="s">
        <v>12</v>
      </c>
      <c r="B27" s="127" t="s">
        <v>13</v>
      </c>
      <c r="C27" s="127"/>
      <c r="D27" s="127"/>
      <c r="E27" s="127"/>
      <c r="F27" s="127"/>
      <c r="G27" s="127"/>
      <c r="H27" s="127"/>
    </row>
    <row r="28" spans="1:8" ht="15" customHeight="1" x14ac:dyDescent="0.3">
      <c r="B28" s="127"/>
      <c r="C28" s="127"/>
      <c r="D28" s="127"/>
      <c r="E28" s="127"/>
      <c r="F28" s="127"/>
      <c r="G28" s="127"/>
      <c r="H28" s="127"/>
    </row>
    <row r="29" spans="1:8" ht="15" customHeight="1" x14ac:dyDescent="0.3">
      <c r="B29" s="73"/>
      <c r="C29" s="73"/>
      <c r="D29" s="73"/>
      <c r="E29" s="73"/>
      <c r="F29" s="73"/>
      <c r="G29" s="73"/>
      <c r="H29" s="73"/>
    </row>
    <row r="30" spans="1:8" ht="15" customHeight="1" x14ac:dyDescent="0.3">
      <c r="B30" s="73"/>
      <c r="C30" s="73"/>
      <c r="D30" s="73"/>
      <c r="E30" s="73"/>
      <c r="F30" s="73"/>
      <c r="G30" s="73"/>
      <c r="H30" s="73"/>
    </row>
    <row r="31" spans="1:8" ht="15" customHeight="1" x14ac:dyDescent="0.3">
      <c r="B31" s="73"/>
      <c r="C31" s="73"/>
      <c r="D31" s="73"/>
      <c r="E31" s="73"/>
      <c r="F31" s="73"/>
      <c r="G31" s="73"/>
      <c r="H31" s="73"/>
    </row>
    <row r="32" spans="1:8" ht="15" customHeight="1" x14ac:dyDescent="0.3">
      <c r="B32" s="73"/>
      <c r="C32" s="73"/>
      <c r="D32" s="73"/>
      <c r="E32" s="73"/>
      <c r="F32" s="73"/>
      <c r="G32" s="73"/>
      <c r="H32" s="73"/>
    </row>
    <row r="33" spans="1:8" ht="15" customHeight="1" x14ac:dyDescent="0.3">
      <c r="B33" s="73"/>
      <c r="C33" s="73"/>
      <c r="D33" s="73"/>
      <c r="E33" s="73"/>
      <c r="F33" s="73"/>
      <c r="G33" s="73"/>
      <c r="H33" s="73"/>
    </row>
    <row r="34" spans="1:8" ht="15" customHeight="1" x14ac:dyDescent="0.3">
      <c r="B34" s="74"/>
      <c r="C34" s="74"/>
      <c r="D34" s="74"/>
      <c r="E34" s="74"/>
      <c r="F34" s="74"/>
      <c r="G34" s="74"/>
      <c r="H34" s="74"/>
    </row>
    <row r="35" spans="1:8" ht="18.75" customHeight="1" x14ac:dyDescent="0.35">
      <c r="A35" s="3" t="s">
        <v>14</v>
      </c>
    </row>
    <row r="36" spans="1:8" ht="18.600000000000001" thickBot="1" x14ac:dyDescent="0.4">
      <c r="A36" s="3"/>
    </row>
    <row r="37" spans="1:8" ht="49.8" customHeight="1" thickBot="1" x14ac:dyDescent="0.35">
      <c r="A37" s="120" t="s">
        <v>139</v>
      </c>
      <c r="B37" s="121"/>
      <c r="C37" s="121"/>
      <c r="D37" s="122"/>
      <c r="E37" s="77"/>
      <c r="F37" s="77"/>
    </row>
    <row r="38" spans="1:8" s="4" customFormat="1" ht="28.8" x14ac:dyDescent="0.3">
      <c r="A38" s="6" t="s">
        <v>15</v>
      </c>
      <c r="B38" s="17" t="s">
        <v>16</v>
      </c>
      <c r="C38" s="7" t="s">
        <v>17</v>
      </c>
      <c r="D38" s="9" t="s">
        <v>129</v>
      </c>
    </row>
    <row r="39" spans="1:8" x14ac:dyDescent="0.3">
      <c r="A39" s="10" t="s">
        <v>18</v>
      </c>
      <c r="B39" s="16">
        <f>SUM(C39:D39)</f>
        <v>330</v>
      </c>
      <c r="C39" s="5">
        <v>216</v>
      </c>
      <c r="D39" s="11">
        <v>114</v>
      </c>
    </row>
    <row r="40" spans="1:8" x14ac:dyDescent="0.3">
      <c r="A40" s="10" t="s">
        <v>19</v>
      </c>
      <c r="B40" s="16">
        <f t="shared" ref="B40:B41" si="0">SUM(C40:D40)</f>
        <v>713</v>
      </c>
      <c r="C40" s="5">
        <v>466</v>
      </c>
      <c r="D40" s="11">
        <v>247</v>
      </c>
    </row>
    <row r="41" spans="1:8" x14ac:dyDescent="0.3">
      <c r="A41" s="10" t="s">
        <v>20</v>
      </c>
      <c r="B41" s="16">
        <f t="shared" si="0"/>
        <v>1908</v>
      </c>
      <c r="C41" s="5">
        <v>1248</v>
      </c>
      <c r="D41" s="11">
        <v>660</v>
      </c>
    </row>
    <row r="42" spans="1:8" ht="15" thickBot="1" x14ac:dyDescent="0.35">
      <c r="A42" s="12" t="s">
        <v>21</v>
      </c>
      <c r="B42" s="18">
        <f>SUM(C42:D42)</f>
        <v>648</v>
      </c>
      <c r="C42" s="13">
        <v>424</v>
      </c>
      <c r="D42" s="14">
        <v>224</v>
      </c>
    </row>
    <row r="43" spans="1:8" ht="15" thickBot="1" x14ac:dyDescent="0.35"/>
    <row r="44" spans="1:8" ht="31.8" customHeight="1" thickBot="1" x14ac:dyDescent="0.35">
      <c r="A44" s="120" t="s">
        <v>140</v>
      </c>
      <c r="B44" s="123"/>
      <c r="C44" s="123"/>
      <c r="D44" s="123"/>
      <c r="E44" s="124"/>
      <c r="F44" s="78"/>
      <c r="G44" s="78"/>
    </row>
    <row r="45" spans="1:8" s="4" customFormat="1" ht="28.8" x14ac:dyDescent="0.3">
      <c r="A45" s="6" t="s">
        <v>15</v>
      </c>
      <c r="B45" s="17" t="s">
        <v>16</v>
      </c>
      <c r="C45" s="7" t="s">
        <v>17</v>
      </c>
      <c r="D45" s="8" t="s">
        <v>129</v>
      </c>
      <c r="E45" s="9" t="s">
        <v>131</v>
      </c>
    </row>
    <row r="46" spans="1:8" x14ac:dyDescent="0.3">
      <c r="A46" s="10" t="s">
        <v>18</v>
      </c>
      <c r="B46" s="16">
        <f>SUM(C46:E46)</f>
        <v>997</v>
      </c>
      <c r="C46" s="5">
        <v>216</v>
      </c>
      <c r="D46" s="5">
        <v>114</v>
      </c>
      <c r="E46" s="11">
        <v>667</v>
      </c>
    </row>
    <row r="47" spans="1:8" x14ac:dyDescent="0.3">
      <c r="A47" s="10" t="s">
        <v>19</v>
      </c>
      <c r="B47" s="16">
        <f t="shared" ref="B47:B49" si="1">SUM(C47:E47)</f>
        <v>2155</v>
      </c>
      <c r="C47" s="5">
        <v>466</v>
      </c>
      <c r="D47" s="5">
        <v>247</v>
      </c>
      <c r="E47" s="11">
        <v>1442</v>
      </c>
    </row>
    <row r="48" spans="1:8" x14ac:dyDescent="0.3">
      <c r="A48" s="10" t="s">
        <v>20</v>
      </c>
      <c r="B48" s="16">
        <f t="shared" si="1"/>
        <v>5767</v>
      </c>
      <c r="C48" s="5">
        <v>1248</v>
      </c>
      <c r="D48" s="5">
        <v>660</v>
      </c>
      <c r="E48" s="11">
        <v>3859</v>
      </c>
    </row>
    <row r="49" spans="1:8" ht="15" thickBot="1" x14ac:dyDescent="0.35">
      <c r="A49" s="12" t="s">
        <v>21</v>
      </c>
      <c r="B49" s="18">
        <f t="shared" si="1"/>
        <v>1958</v>
      </c>
      <c r="C49" s="13">
        <v>424</v>
      </c>
      <c r="D49" s="13">
        <v>224</v>
      </c>
      <c r="E49" s="14">
        <v>1310</v>
      </c>
    </row>
    <row r="51" spans="1:8" x14ac:dyDescent="0.3">
      <c r="A51" s="21" t="s">
        <v>22</v>
      </c>
    </row>
    <row r="61" spans="1:8" ht="18" x14ac:dyDescent="0.35">
      <c r="A61" s="3" t="s">
        <v>23</v>
      </c>
    </row>
    <row r="62" spans="1:8" ht="18.600000000000001" thickBot="1" x14ac:dyDescent="0.4">
      <c r="A62" s="3"/>
    </row>
    <row r="63" spans="1:8" ht="16.2" thickBot="1" x14ac:dyDescent="0.35">
      <c r="A63" s="125" t="s">
        <v>24</v>
      </c>
      <c r="B63" s="123"/>
      <c r="C63" s="123"/>
      <c r="D63" s="123"/>
      <c r="E63" s="123"/>
      <c r="F63" s="79"/>
      <c r="G63" s="78"/>
      <c r="H63" s="78"/>
    </row>
    <row r="64" spans="1:8" s="4" customFormat="1" ht="28.8" x14ac:dyDescent="0.3">
      <c r="A64" s="6" t="s">
        <v>25</v>
      </c>
      <c r="B64" s="17" t="s">
        <v>16</v>
      </c>
      <c r="C64" s="7" t="s">
        <v>26</v>
      </c>
      <c r="D64" s="8" t="s">
        <v>129</v>
      </c>
      <c r="E64" s="80" t="s">
        <v>128</v>
      </c>
    </row>
    <row r="65" spans="1:5" x14ac:dyDescent="0.3">
      <c r="A65" s="10" t="s">
        <v>29</v>
      </c>
      <c r="B65" s="16">
        <f t="shared" ref="B65:B79" si="2">SUM(C65:E65)</f>
        <v>585</v>
      </c>
      <c r="C65" s="5">
        <v>171</v>
      </c>
      <c r="D65" s="5">
        <v>77</v>
      </c>
      <c r="E65" s="81">
        <v>337</v>
      </c>
    </row>
    <row r="66" spans="1:5" x14ac:dyDescent="0.3">
      <c r="A66" s="10" t="s">
        <v>30</v>
      </c>
      <c r="B66" s="16">
        <f t="shared" si="2"/>
        <v>807</v>
      </c>
      <c r="C66" s="5">
        <v>236</v>
      </c>
      <c r="D66" s="5">
        <v>106</v>
      </c>
      <c r="E66" s="81">
        <v>465</v>
      </c>
    </row>
    <row r="67" spans="1:5" x14ac:dyDescent="0.3">
      <c r="A67" s="10" t="s">
        <v>31</v>
      </c>
      <c r="B67" s="16">
        <f t="shared" si="2"/>
        <v>979</v>
      </c>
      <c r="C67" s="5">
        <v>286</v>
      </c>
      <c r="D67" s="5">
        <v>128</v>
      </c>
      <c r="E67" s="81">
        <v>565</v>
      </c>
    </row>
    <row r="68" spans="1:5" x14ac:dyDescent="0.3">
      <c r="A68" s="10" t="s">
        <v>32</v>
      </c>
      <c r="B68" s="16">
        <f t="shared" si="2"/>
        <v>1128</v>
      </c>
      <c r="C68" s="5">
        <v>330</v>
      </c>
      <c r="D68" s="5">
        <v>147</v>
      </c>
      <c r="E68" s="81">
        <v>651</v>
      </c>
    </row>
    <row r="69" spans="1:5" x14ac:dyDescent="0.3">
      <c r="A69" s="10" t="s">
        <v>33</v>
      </c>
      <c r="B69" s="16">
        <f t="shared" si="2"/>
        <v>1243</v>
      </c>
      <c r="C69" s="5">
        <v>363</v>
      </c>
      <c r="D69" s="5">
        <v>163</v>
      </c>
      <c r="E69" s="81">
        <v>717</v>
      </c>
    </row>
    <row r="70" spans="1:5" x14ac:dyDescent="0.3">
      <c r="A70" s="10" t="s">
        <v>34</v>
      </c>
      <c r="B70" s="16">
        <f t="shared" si="2"/>
        <v>1349</v>
      </c>
      <c r="C70" s="5">
        <v>394</v>
      </c>
      <c r="D70" s="5">
        <v>177</v>
      </c>
      <c r="E70" s="81">
        <v>778</v>
      </c>
    </row>
    <row r="71" spans="1:5" x14ac:dyDescent="0.3">
      <c r="A71" s="10" t="s">
        <v>35</v>
      </c>
      <c r="B71" s="16">
        <f t="shared" si="2"/>
        <v>1444</v>
      </c>
      <c r="C71" s="5">
        <v>422</v>
      </c>
      <c r="D71" s="5">
        <v>189</v>
      </c>
      <c r="E71" s="81">
        <v>833</v>
      </c>
    </row>
    <row r="72" spans="1:5" x14ac:dyDescent="0.3">
      <c r="A72" s="10" t="s">
        <v>36</v>
      </c>
      <c r="B72" s="16">
        <f t="shared" si="2"/>
        <v>1523</v>
      </c>
      <c r="C72" s="5">
        <v>445</v>
      </c>
      <c r="D72" s="5">
        <v>199</v>
      </c>
      <c r="E72" s="81">
        <v>879</v>
      </c>
    </row>
    <row r="73" spans="1:5" x14ac:dyDescent="0.3">
      <c r="A73" s="10" t="s">
        <v>37</v>
      </c>
      <c r="B73" s="16">
        <f t="shared" si="2"/>
        <v>1602</v>
      </c>
      <c r="C73" s="5">
        <v>468</v>
      </c>
      <c r="D73" s="5">
        <v>210</v>
      </c>
      <c r="E73" s="81">
        <v>924</v>
      </c>
    </row>
    <row r="74" spans="1:5" x14ac:dyDescent="0.3">
      <c r="A74" s="10" t="s">
        <v>38</v>
      </c>
      <c r="B74" s="16">
        <f t="shared" si="2"/>
        <v>1666</v>
      </c>
      <c r="C74" s="5">
        <v>487</v>
      </c>
      <c r="D74" s="5">
        <v>218</v>
      </c>
      <c r="E74" s="81">
        <v>961</v>
      </c>
    </row>
    <row r="75" spans="1:5" x14ac:dyDescent="0.3">
      <c r="A75" s="10" t="s">
        <v>39</v>
      </c>
      <c r="B75" s="16">
        <f t="shared" si="2"/>
        <v>1728</v>
      </c>
      <c r="C75" s="5">
        <v>505</v>
      </c>
      <c r="D75" s="5">
        <v>226</v>
      </c>
      <c r="E75" s="81">
        <v>997</v>
      </c>
    </row>
    <row r="76" spans="1:5" x14ac:dyDescent="0.3">
      <c r="A76" s="10" t="s">
        <v>40</v>
      </c>
      <c r="B76" s="16">
        <f t="shared" si="2"/>
        <v>1787</v>
      </c>
      <c r="C76" s="5">
        <v>522</v>
      </c>
      <c r="D76" s="5">
        <v>234</v>
      </c>
      <c r="E76" s="81">
        <v>1031</v>
      </c>
    </row>
    <row r="77" spans="1:5" x14ac:dyDescent="0.3">
      <c r="A77" s="10" t="s">
        <v>41</v>
      </c>
      <c r="B77" s="16">
        <f t="shared" si="2"/>
        <v>1845</v>
      </c>
      <c r="C77" s="5">
        <v>539</v>
      </c>
      <c r="D77" s="5">
        <v>242</v>
      </c>
      <c r="E77" s="81">
        <v>1064</v>
      </c>
    </row>
    <row r="78" spans="1:5" x14ac:dyDescent="0.3">
      <c r="A78" s="10" t="s">
        <v>42</v>
      </c>
      <c r="B78" s="16">
        <f t="shared" si="2"/>
        <v>1892</v>
      </c>
      <c r="C78" s="5">
        <v>553</v>
      </c>
      <c r="D78" s="5">
        <v>248</v>
      </c>
      <c r="E78" s="81">
        <v>1091</v>
      </c>
    </row>
    <row r="79" spans="1:5" ht="15" thickBot="1" x14ac:dyDescent="0.35">
      <c r="A79" s="12" t="s">
        <v>43</v>
      </c>
      <c r="B79" s="18">
        <f t="shared" si="2"/>
        <v>1940</v>
      </c>
      <c r="C79" s="13">
        <v>567</v>
      </c>
      <c r="D79" s="13">
        <v>254</v>
      </c>
      <c r="E79" s="82">
        <v>1119</v>
      </c>
    </row>
    <row r="80" spans="1:5" ht="15" thickBot="1" x14ac:dyDescent="0.35"/>
    <row r="81" spans="1:8" ht="16.2" thickBot="1" x14ac:dyDescent="0.35">
      <c r="A81" s="125" t="s">
        <v>44</v>
      </c>
      <c r="B81" s="123"/>
      <c r="C81" s="123"/>
      <c r="D81" s="123"/>
      <c r="E81" s="124"/>
      <c r="F81" s="78"/>
      <c r="G81" s="78"/>
      <c r="H81" s="78"/>
    </row>
    <row r="82" spans="1:8" s="4" customFormat="1" ht="28.8" x14ac:dyDescent="0.3">
      <c r="A82" s="6" t="s">
        <v>25</v>
      </c>
      <c r="B82" s="17" t="s">
        <v>16</v>
      </c>
      <c r="C82" s="7" t="s">
        <v>26</v>
      </c>
      <c r="D82" s="8" t="s">
        <v>129</v>
      </c>
      <c r="E82" s="80" t="s">
        <v>128</v>
      </c>
    </row>
    <row r="83" spans="1:8" x14ac:dyDescent="0.3">
      <c r="A83" s="10" t="s">
        <v>29</v>
      </c>
      <c r="B83" s="16">
        <f t="shared" ref="B83:B97" si="3">SUM(C83:E83)</f>
        <v>348</v>
      </c>
      <c r="C83" s="5">
        <v>171</v>
      </c>
      <c r="D83" s="5">
        <v>77</v>
      </c>
      <c r="E83" s="81">
        <v>100</v>
      </c>
    </row>
    <row r="84" spans="1:8" x14ac:dyDescent="0.3">
      <c r="A84" s="10" t="s">
        <v>30</v>
      </c>
      <c r="B84" s="16">
        <f t="shared" si="3"/>
        <v>480</v>
      </c>
      <c r="C84" s="5">
        <v>236</v>
      </c>
      <c r="D84" s="5">
        <v>106</v>
      </c>
      <c r="E84" s="81">
        <v>138</v>
      </c>
    </row>
    <row r="85" spans="1:8" x14ac:dyDescent="0.3">
      <c r="A85" s="10" t="s">
        <v>31</v>
      </c>
      <c r="B85" s="16">
        <f t="shared" si="3"/>
        <v>581</v>
      </c>
      <c r="C85" s="5">
        <v>286</v>
      </c>
      <c r="D85" s="5">
        <v>128</v>
      </c>
      <c r="E85" s="81">
        <v>167</v>
      </c>
    </row>
    <row r="86" spans="1:8" x14ac:dyDescent="0.3">
      <c r="A86" s="10" t="s">
        <v>32</v>
      </c>
      <c r="B86" s="16">
        <f t="shared" si="3"/>
        <v>670</v>
      </c>
      <c r="C86" s="5">
        <v>330</v>
      </c>
      <c r="D86" s="5">
        <v>147</v>
      </c>
      <c r="E86" s="81">
        <v>193</v>
      </c>
    </row>
    <row r="87" spans="1:8" x14ac:dyDescent="0.3">
      <c r="A87" s="10" t="s">
        <v>33</v>
      </c>
      <c r="B87" s="16">
        <f t="shared" si="3"/>
        <v>738</v>
      </c>
      <c r="C87" s="5">
        <v>363</v>
      </c>
      <c r="D87" s="5">
        <v>163</v>
      </c>
      <c r="E87" s="81">
        <v>212</v>
      </c>
    </row>
    <row r="88" spans="1:8" x14ac:dyDescent="0.3">
      <c r="A88" s="10" t="s">
        <v>34</v>
      </c>
      <c r="B88" s="16">
        <f t="shared" si="3"/>
        <v>801</v>
      </c>
      <c r="C88" s="5">
        <v>394</v>
      </c>
      <c r="D88" s="5">
        <v>177</v>
      </c>
      <c r="E88" s="81">
        <v>230</v>
      </c>
    </row>
    <row r="89" spans="1:8" x14ac:dyDescent="0.3">
      <c r="A89" s="10" t="s">
        <v>35</v>
      </c>
      <c r="B89" s="16">
        <f t="shared" si="3"/>
        <v>858</v>
      </c>
      <c r="C89" s="5">
        <v>422</v>
      </c>
      <c r="D89" s="5">
        <v>189</v>
      </c>
      <c r="E89" s="81">
        <v>247</v>
      </c>
    </row>
    <row r="90" spans="1:8" x14ac:dyDescent="0.3">
      <c r="A90" s="10" t="s">
        <v>36</v>
      </c>
      <c r="B90" s="16">
        <f t="shared" si="3"/>
        <v>904</v>
      </c>
      <c r="C90" s="5">
        <v>445</v>
      </c>
      <c r="D90" s="5">
        <v>199</v>
      </c>
      <c r="E90" s="81">
        <v>260</v>
      </c>
    </row>
    <row r="91" spans="1:8" x14ac:dyDescent="0.3">
      <c r="A91" s="10" t="s">
        <v>37</v>
      </c>
      <c r="B91" s="16">
        <f t="shared" si="3"/>
        <v>952</v>
      </c>
      <c r="C91" s="5">
        <v>468</v>
      </c>
      <c r="D91" s="5">
        <v>210</v>
      </c>
      <c r="E91" s="81">
        <v>274</v>
      </c>
    </row>
    <row r="92" spans="1:8" x14ac:dyDescent="0.3">
      <c r="A92" s="10" t="s">
        <v>38</v>
      </c>
      <c r="B92" s="16">
        <f t="shared" si="3"/>
        <v>989</v>
      </c>
      <c r="C92" s="5">
        <v>487</v>
      </c>
      <c r="D92" s="5">
        <v>218</v>
      </c>
      <c r="E92" s="81">
        <v>284</v>
      </c>
    </row>
    <row r="93" spans="1:8" x14ac:dyDescent="0.3">
      <c r="A93" s="10" t="s">
        <v>39</v>
      </c>
      <c r="B93" s="16">
        <f t="shared" si="3"/>
        <v>1026</v>
      </c>
      <c r="C93" s="5">
        <v>505</v>
      </c>
      <c r="D93" s="5">
        <v>226</v>
      </c>
      <c r="E93" s="81">
        <v>295</v>
      </c>
    </row>
    <row r="94" spans="1:8" x14ac:dyDescent="0.3">
      <c r="A94" s="10" t="s">
        <v>40</v>
      </c>
      <c r="B94" s="16">
        <f t="shared" si="3"/>
        <v>1061</v>
      </c>
      <c r="C94" s="5">
        <v>522</v>
      </c>
      <c r="D94" s="5">
        <v>234</v>
      </c>
      <c r="E94" s="81">
        <v>305</v>
      </c>
    </row>
    <row r="95" spans="1:8" x14ac:dyDescent="0.3">
      <c r="A95" s="10" t="s">
        <v>41</v>
      </c>
      <c r="B95" s="16">
        <f t="shared" si="3"/>
        <v>1096</v>
      </c>
      <c r="C95" s="5">
        <v>539</v>
      </c>
      <c r="D95" s="5">
        <v>242</v>
      </c>
      <c r="E95" s="81">
        <v>315</v>
      </c>
    </row>
    <row r="96" spans="1:8" x14ac:dyDescent="0.3">
      <c r="A96" s="10" t="s">
        <v>42</v>
      </c>
      <c r="B96" s="16">
        <f t="shared" si="3"/>
        <v>1124</v>
      </c>
      <c r="C96" s="5">
        <v>553</v>
      </c>
      <c r="D96" s="5">
        <v>248</v>
      </c>
      <c r="E96" s="81">
        <v>323</v>
      </c>
    </row>
    <row r="97" spans="1:8" ht="15" thickBot="1" x14ac:dyDescent="0.35">
      <c r="A97" s="12" t="s">
        <v>43</v>
      </c>
      <c r="B97" s="18">
        <f t="shared" si="3"/>
        <v>1152</v>
      </c>
      <c r="C97" s="13">
        <v>567</v>
      </c>
      <c r="D97" s="13">
        <v>254</v>
      </c>
      <c r="E97" s="82">
        <v>331</v>
      </c>
    </row>
    <row r="98" spans="1:8" ht="15" thickBot="1" x14ac:dyDescent="0.35"/>
    <row r="99" spans="1:8" ht="35.25" customHeight="1" thickBot="1" x14ac:dyDescent="0.35">
      <c r="A99" s="120" t="s">
        <v>45</v>
      </c>
      <c r="B99" s="121"/>
      <c r="C99" s="121"/>
      <c r="D99" s="121"/>
      <c r="E99" s="122"/>
      <c r="F99" s="77"/>
      <c r="G99" s="77"/>
      <c r="H99" s="77"/>
    </row>
    <row r="100" spans="1:8" s="4" customFormat="1" ht="28.8" x14ac:dyDescent="0.3">
      <c r="A100" s="6" t="s">
        <v>25</v>
      </c>
      <c r="B100" s="17" t="s">
        <v>16</v>
      </c>
      <c r="C100" s="7" t="s">
        <v>26</v>
      </c>
      <c r="D100" s="8" t="s">
        <v>129</v>
      </c>
      <c r="E100" s="80" t="s">
        <v>128</v>
      </c>
    </row>
    <row r="101" spans="1:8" x14ac:dyDescent="0.3">
      <c r="A101" s="10" t="s">
        <v>29</v>
      </c>
      <c r="B101" s="16">
        <f t="shared" ref="B101:B115" si="4">SUM(C101:F101)</f>
        <v>670</v>
      </c>
      <c r="C101" s="5">
        <v>171</v>
      </c>
      <c r="D101" s="5">
        <v>77</v>
      </c>
      <c r="E101" s="81">
        <v>422</v>
      </c>
    </row>
    <row r="102" spans="1:8" x14ac:dyDescent="0.3">
      <c r="A102" s="10" t="s">
        <v>30</v>
      </c>
      <c r="B102" s="16">
        <f t="shared" si="4"/>
        <v>923</v>
      </c>
      <c r="C102" s="5">
        <v>236</v>
      </c>
      <c r="D102" s="5">
        <v>106</v>
      </c>
      <c r="E102" s="81">
        <v>581</v>
      </c>
    </row>
    <row r="103" spans="1:8" x14ac:dyDescent="0.3">
      <c r="A103" s="10" t="s">
        <v>31</v>
      </c>
      <c r="B103" s="16">
        <f t="shared" si="4"/>
        <v>1121</v>
      </c>
      <c r="C103" s="5">
        <v>286</v>
      </c>
      <c r="D103" s="5">
        <v>128</v>
      </c>
      <c r="E103" s="81">
        <v>707</v>
      </c>
    </row>
    <row r="104" spans="1:8" x14ac:dyDescent="0.3">
      <c r="A104" s="10" t="s">
        <v>32</v>
      </c>
      <c r="B104" s="16">
        <f t="shared" si="4"/>
        <v>1290</v>
      </c>
      <c r="C104" s="5">
        <v>330</v>
      </c>
      <c r="D104" s="5">
        <v>147</v>
      </c>
      <c r="E104" s="81">
        <v>813</v>
      </c>
    </row>
    <row r="105" spans="1:8" x14ac:dyDescent="0.3">
      <c r="A105" s="10" t="s">
        <v>33</v>
      </c>
      <c r="B105" s="16">
        <f t="shared" si="4"/>
        <v>1423</v>
      </c>
      <c r="C105" s="5">
        <v>363</v>
      </c>
      <c r="D105" s="5">
        <v>163</v>
      </c>
      <c r="E105" s="81">
        <v>897</v>
      </c>
    </row>
    <row r="106" spans="1:8" x14ac:dyDescent="0.3">
      <c r="A106" s="10" t="s">
        <v>34</v>
      </c>
      <c r="B106" s="16">
        <f t="shared" si="4"/>
        <v>1544</v>
      </c>
      <c r="C106" s="5">
        <v>394</v>
      </c>
      <c r="D106" s="5">
        <v>177</v>
      </c>
      <c r="E106" s="81">
        <v>973</v>
      </c>
    </row>
    <row r="107" spans="1:8" x14ac:dyDescent="0.3">
      <c r="A107" s="10" t="s">
        <v>35</v>
      </c>
      <c r="B107" s="16">
        <f t="shared" si="4"/>
        <v>1652</v>
      </c>
      <c r="C107" s="5">
        <v>422</v>
      </c>
      <c r="D107" s="5">
        <v>189</v>
      </c>
      <c r="E107" s="81">
        <v>1041</v>
      </c>
    </row>
    <row r="108" spans="1:8" x14ac:dyDescent="0.3">
      <c r="A108" s="10" t="s">
        <v>36</v>
      </c>
      <c r="B108" s="16">
        <f t="shared" si="4"/>
        <v>1742</v>
      </c>
      <c r="C108" s="5">
        <v>445</v>
      </c>
      <c r="D108" s="5">
        <v>199</v>
      </c>
      <c r="E108" s="81">
        <v>1098</v>
      </c>
    </row>
    <row r="109" spans="1:8" x14ac:dyDescent="0.3">
      <c r="A109" s="10" t="s">
        <v>37</v>
      </c>
      <c r="B109" s="16">
        <f t="shared" si="4"/>
        <v>1833</v>
      </c>
      <c r="C109" s="5">
        <v>468</v>
      </c>
      <c r="D109" s="5">
        <v>210</v>
      </c>
      <c r="E109" s="81">
        <v>1155</v>
      </c>
    </row>
    <row r="110" spans="1:8" x14ac:dyDescent="0.3">
      <c r="A110" s="10" t="s">
        <v>38</v>
      </c>
      <c r="B110" s="16">
        <f t="shared" si="4"/>
        <v>1906</v>
      </c>
      <c r="C110" s="5">
        <v>487</v>
      </c>
      <c r="D110" s="5">
        <v>218</v>
      </c>
      <c r="E110" s="81">
        <v>1201</v>
      </c>
    </row>
    <row r="111" spans="1:8" x14ac:dyDescent="0.3">
      <c r="A111" s="10" t="s">
        <v>39</v>
      </c>
      <c r="B111" s="16">
        <f t="shared" si="4"/>
        <v>1977</v>
      </c>
      <c r="C111" s="5">
        <v>505</v>
      </c>
      <c r="D111" s="5">
        <v>226</v>
      </c>
      <c r="E111" s="81">
        <v>1246</v>
      </c>
    </row>
    <row r="112" spans="1:8" x14ac:dyDescent="0.3">
      <c r="A112" s="10" t="s">
        <v>40</v>
      </c>
      <c r="B112" s="16">
        <f t="shared" si="4"/>
        <v>2044</v>
      </c>
      <c r="C112" s="5">
        <v>522</v>
      </c>
      <c r="D112" s="5">
        <v>234</v>
      </c>
      <c r="E112" s="81">
        <v>1288</v>
      </c>
    </row>
    <row r="113" spans="1:8" x14ac:dyDescent="0.3">
      <c r="A113" s="10" t="s">
        <v>41</v>
      </c>
      <c r="B113" s="16">
        <f t="shared" si="4"/>
        <v>2111</v>
      </c>
      <c r="C113" s="5">
        <v>539</v>
      </c>
      <c r="D113" s="5">
        <v>242</v>
      </c>
      <c r="E113" s="81">
        <v>1330</v>
      </c>
    </row>
    <row r="114" spans="1:8" x14ac:dyDescent="0.3">
      <c r="A114" s="10" t="s">
        <v>42</v>
      </c>
      <c r="B114" s="16">
        <f t="shared" si="4"/>
        <v>2165</v>
      </c>
      <c r="C114" s="5">
        <v>553</v>
      </c>
      <c r="D114" s="5">
        <v>248</v>
      </c>
      <c r="E114" s="81">
        <v>1364</v>
      </c>
    </row>
    <row r="115" spans="1:8" ht="15" thickBot="1" x14ac:dyDescent="0.35">
      <c r="A115" s="12" t="s">
        <v>43</v>
      </c>
      <c r="B115" s="18">
        <f t="shared" si="4"/>
        <v>2219</v>
      </c>
      <c r="C115" s="13">
        <v>567</v>
      </c>
      <c r="D115" s="13">
        <v>254</v>
      </c>
      <c r="E115" s="82">
        <v>1398</v>
      </c>
    </row>
    <row r="117" spans="1:8" ht="15" thickBot="1" x14ac:dyDescent="0.35"/>
    <row r="118" spans="1:8" ht="34.5" customHeight="1" thickBot="1" x14ac:dyDescent="0.35">
      <c r="A118" s="120" t="s">
        <v>46</v>
      </c>
      <c r="B118" s="121"/>
      <c r="C118" s="121"/>
      <c r="D118" s="121"/>
      <c r="E118" s="121"/>
      <c r="F118" s="122"/>
      <c r="G118" s="78"/>
      <c r="H118" s="78"/>
    </row>
    <row r="119" spans="1:8" s="4" customFormat="1" ht="28.8" x14ac:dyDescent="0.3">
      <c r="A119" s="6" t="s">
        <v>25</v>
      </c>
      <c r="B119" s="17" t="s">
        <v>16</v>
      </c>
      <c r="C119" s="7" t="s">
        <v>26</v>
      </c>
      <c r="D119" s="8" t="s">
        <v>129</v>
      </c>
      <c r="E119" s="8" t="s">
        <v>128</v>
      </c>
      <c r="F119" s="80" t="s">
        <v>130</v>
      </c>
    </row>
    <row r="120" spans="1:8" x14ac:dyDescent="0.3">
      <c r="A120" s="10" t="s">
        <v>29</v>
      </c>
      <c r="B120" s="16">
        <f t="shared" ref="B120:B134" si="5">SUM(C120:F120)</f>
        <v>1572</v>
      </c>
      <c r="C120" s="5">
        <v>171</v>
      </c>
      <c r="D120" s="5">
        <v>77</v>
      </c>
      <c r="E120" s="5">
        <v>422</v>
      </c>
      <c r="F120" s="83">
        <v>902</v>
      </c>
    </row>
    <row r="121" spans="1:8" x14ac:dyDescent="0.3">
      <c r="A121" s="10" t="s">
        <v>30</v>
      </c>
      <c r="B121" s="16">
        <f t="shared" si="5"/>
        <v>2167</v>
      </c>
      <c r="C121" s="5">
        <v>236</v>
      </c>
      <c r="D121" s="5">
        <v>106</v>
      </c>
      <c r="E121" s="5">
        <v>581</v>
      </c>
      <c r="F121" s="83">
        <v>1244</v>
      </c>
    </row>
    <row r="122" spans="1:8" x14ac:dyDescent="0.3">
      <c r="A122" s="10" t="s">
        <v>31</v>
      </c>
      <c r="B122" s="16">
        <f t="shared" si="5"/>
        <v>2633</v>
      </c>
      <c r="C122" s="5">
        <v>286</v>
      </c>
      <c r="D122" s="5">
        <v>128</v>
      </c>
      <c r="E122" s="5">
        <v>707</v>
      </c>
      <c r="F122" s="83">
        <v>1512</v>
      </c>
    </row>
    <row r="123" spans="1:8" x14ac:dyDescent="0.3">
      <c r="A123" s="10" t="s">
        <v>32</v>
      </c>
      <c r="B123" s="16">
        <f t="shared" si="5"/>
        <v>3030</v>
      </c>
      <c r="C123" s="5">
        <v>330</v>
      </c>
      <c r="D123" s="5">
        <v>147</v>
      </c>
      <c r="E123" s="5">
        <v>813</v>
      </c>
      <c r="F123" s="83">
        <v>1740</v>
      </c>
    </row>
    <row r="124" spans="1:8" x14ac:dyDescent="0.3">
      <c r="A124" s="10" t="s">
        <v>33</v>
      </c>
      <c r="B124" s="16">
        <f t="shared" si="5"/>
        <v>3342</v>
      </c>
      <c r="C124" s="5">
        <v>363</v>
      </c>
      <c r="D124" s="5">
        <v>163</v>
      </c>
      <c r="E124" s="5">
        <v>897</v>
      </c>
      <c r="F124" s="83">
        <v>1919</v>
      </c>
    </row>
    <row r="125" spans="1:8" x14ac:dyDescent="0.3">
      <c r="A125" s="10" t="s">
        <v>34</v>
      </c>
      <c r="B125" s="16">
        <f t="shared" si="5"/>
        <v>3625</v>
      </c>
      <c r="C125" s="5">
        <v>394</v>
      </c>
      <c r="D125" s="5">
        <v>177</v>
      </c>
      <c r="E125" s="5">
        <v>973</v>
      </c>
      <c r="F125" s="83">
        <v>2081</v>
      </c>
    </row>
    <row r="126" spans="1:8" x14ac:dyDescent="0.3">
      <c r="A126" s="10" t="s">
        <v>35</v>
      </c>
      <c r="B126" s="16">
        <f t="shared" si="5"/>
        <v>3880</v>
      </c>
      <c r="C126" s="5">
        <v>422</v>
      </c>
      <c r="D126" s="5">
        <v>189</v>
      </c>
      <c r="E126" s="5">
        <v>1041</v>
      </c>
      <c r="F126" s="83">
        <v>2228</v>
      </c>
    </row>
    <row r="127" spans="1:8" x14ac:dyDescent="0.3">
      <c r="A127" s="10" t="s">
        <v>36</v>
      </c>
      <c r="B127" s="16">
        <f t="shared" si="5"/>
        <v>4092</v>
      </c>
      <c r="C127" s="5">
        <v>445</v>
      </c>
      <c r="D127" s="5">
        <v>199</v>
      </c>
      <c r="E127" s="5">
        <v>1098</v>
      </c>
      <c r="F127" s="83">
        <v>2350</v>
      </c>
    </row>
    <row r="128" spans="1:8" x14ac:dyDescent="0.3">
      <c r="A128" s="10" t="s">
        <v>37</v>
      </c>
      <c r="B128" s="16">
        <f t="shared" si="5"/>
        <v>4305</v>
      </c>
      <c r="C128" s="5">
        <v>468</v>
      </c>
      <c r="D128" s="5">
        <v>210</v>
      </c>
      <c r="E128" s="5">
        <v>1155</v>
      </c>
      <c r="F128" s="83">
        <v>2472</v>
      </c>
    </row>
    <row r="129" spans="1:8" x14ac:dyDescent="0.3">
      <c r="A129" s="10" t="s">
        <v>38</v>
      </c>
      <c r="B129" s="16">
        <f t="shared" si="5"/>
        <v>4475</v>
      </c>
      <c r="C129" s="5">
        <v>487</v>
      </c>
      <c r="D129" s="5">
        <v>218</v>
      </c>
      <c r="E129" s="5">
        <v>1201</v>
      </c>
      <c r="F129" s="83">
        <v>2569</v>
      </c>
    </row>
    <row r="130" spans="1:8" x14ac:dyDescent="0.3">
      <c r="A130" s="10" t="s">
        <v>39</v>
      </c>
      <c r="B130" s="16">
        <f t="shared" si="5"/>
        <v>4644</v>
      </c>
      <c r="C130" s="5">
        <v>505</v>
      </c>
      <c r="D130" s="5">
        <v>226</v>
      </c>
      <c r="E130" s="5">
        <v>1246</v>
      </c>
      <c r="F130" s="83">
        <v>2667</v>
      </c>
    </row>
    <row r="131" spans="1:8" x14ac:dyDescent="0.3">
      <c r="A131" s="10" t="s">
        <v>40</v>
      </c>
      <c r="B131" s="16">
        <f t="shared" si="5"/>
        <v>4800</v>
      </c>
      <c r="C131" s="5">
        <v>522</v>
      </c>
      <c r="D131" s="5">
        <v>234</v>
      </c>
      <c r="E131" s="5">
        <v>1288</v>
      </c>
      <c r="F131" s="83">
        <v>2756</v>
      </c>
    </row>
    <row r="132" spans="1:8" x14ac:dyDescent="0.3">
      <c r="A132" s="10" t="s">
        <v>41</v>
      </c>
      <c r="B132" s="16">
        <f t="shared" si="5"/>
        <v>4957</v>
      </c>
      <c r="C132" s="5">
        <v>539</v>
      </c>
      <c r="D132" s="5">
        <v>242</v>
      </c>
      <c r="E132" s="5">
        <v>1330</v>
      </c>
      <c r="F132" s="83">
        <v>2846</v>
      </c>
    </row>
    <row r="133" spans="1:8" x14ac:dyDescent="0.3">
      <c r="A133" s="10" t="s">
        <v>42</v>
      </c>
      <c r="B133" s="16">
        <f t="shared" si="5"/>
        <v>5084</v>
      </c>
      <c r="C133" s="5">
        <v>553</v>
      </c>
      <c r="D133" s="5">
        <v>248</v>
      </c>
      <c r="E133" s="5">
        <v>1364</v>
      </c>
      <c r="F133" s="83">
        <v>2919</v>
      </c>
    </row>
    <row r="134" spans="1:8" ht="15" thickBot="1" x14ac:dyDescent="0.35">
      <c r="A134" s="12" t="s">
        <v>43</v>
      </c>
      <c r="B134" s="18">
        <f t="shared" si="5"/>
        <v>5211</v>
      </c>
      <c r="C134" s="13">
        <v>567</v>
      </c>
      <c r="D134" s="13">
        <v>254</v>
      </c>
      <c r="E134" s="13">
        <v>1398</v>
      </c>
      <c r="F134" s="84">
        <v>2992</v>
      </c>
    </row>
    <row r="135" spans="1:8" ht="15" thickBot="1" x14ac:dyDescent="0.35"/>
    <row r="136" spans="1:8" ht="16.2" thickBot="1" x14ac:dyDescent="0.35">
      <c r="A136" s="125" t="s">
        <v>47</v>
      </c>
      <c r="B136" s="123"/>
      <c r="C136" s="123"/>
      <c r="D136" s="123"/>
      <c r="E136" s="124"/>
      <c r="F136" s="78"/>
      <c r="G136" s="78"/>
      <c r="H136" s="78"/>
    </row>
    <row r="137" spans="1:8" s="4" customFormat="1" ht="28.8" x14ac:dyDescent="0.3">
      <c r="A137" s="6" t="s">
        <v>25</v>
      </c>
      <c r="B137" s="17" t="s">
        <v>16</v>
      </c>
      <c r="C137" s="7" t="s">
        <v>26</v>
      </c>
      <c r="D137" s="8" t="s">
        <v>129</v>
      </c>
      <c r="E137" s="80" t="s">
        <v>128</v>
      </c>
    </row>
    <row r="138" spans="1:8" x14ac:dyDescent="0.3">
      <c r="A138" s="10" t="s">
        <v>29</v>
      </c>
      <c r="B138" s="16">
        <f>SUM(C138:E138)</f>
        <v>681</v>
      </c>
      <c r="C138" s="5">
        <v>171</v>
      </c>
      <c r="D138" s="5">
        <v>77</v>
      </c>
      <c r="E138" s="81">
        <v>433</v>
      </c>
    </row>
    <row r="139" spans="1:8" x14ac:dyDescent="0.3">
      <c r="A139" s="10" t="s">
        <v>30</v>
      </c>
      <c r="B139" s="16">
        <f t="shared" ref="B139:B152" si="6">SUM(C139:E139)</f>
        <v>939</v>
      </c>
      <c r="C139" s="5">
        <v>236</v>
      </c>
      <c r="D139" s="5">
        <v>106</v>
      </c>
      <c r="E139" s="81">
        <v>597</v>
      </c>
    </row>
    <row r="140" spans="1:8" x14ac:dyDescent="0.3">
      <c r="A140" s="10" t="s">
        <v>31</v>
      </c>
      <c r="B140" s="16">
        <f t="shared" si="6"/>
        <v>1139</v>
      </c>
      <c r="C140" s="5">
        <v>286</v>
      </c>
      <c r="D140" s="5">
        <v>128</v>
      </c>
      <c r="E140" s="81">
        <v>725</v>
      </c>
    </row>
    <row r="141" spans="1:8" x14ac:dyDescent="0.3">
      <c r="A141" s="10" t="s">
        <v>32</v>
      </c>
      <c r="B141" s="16">
        <f t="shared" si="6"/>
        <v>1312</v>
      </c>
      <c r="C141" s="5">
        <v>330</v>
      </c>
      <c r="D141" s="5">
        <v>147</v>
      </c>
      <c r="E141" s="81">
        <v>835</v>
      </c>
    </row>
    <row r="142" spans="1:8" x14ac:dyDescent="0.3">
      <c r="A142" s="10" t="s">
        <v>33</v>
      </c>
      <c r="B142" s="16">
        <f t="shared" si="6"/>
        <v>1446</v>
      </c>
      <c r="C142" s="5">
        <v>363</v>
      </c>
      <c r="D142" s="5">
        <v>163</v>
      </c>
      <c r="E142" s="81">
        <v>920</v>
      </c>
    </row>
    <row r="143" spans="1:8" x14ac:dyDescent="0.3">
      <c r="A143" s="10" t="s">
        <v>34</v>
      </c>
      <c r="B143" s="16">
        <f t="shared" si="6"/>
        <v>1569</v>
      </c>
      <c r="C143" s="5">
        <v>394</v>
      </c>
      <c r="D143" s="5">
        <v>177</v>
      </c>
      <c r="E143" s="81">
        <v>998</v>
      </c>
    </row>
    <row r="144" spans="1:8" x14ac:dyDescent="0.3">
      <c r="A144" s="10" t="s">
        <v>35</v>
      </c>
      <c r="B144" s="16">
        <f t="shared" si="6"/>
        <v>1680</v>
      </c>
      <c r="C144" s="5">
        <v>422</v>
      </c>
      <c r="D144" s="5">
        <v>189</v>
      </c>
      <c r="E144" s="81">
        <v>1069</v>
      </c>
    </row>
    <row r="145" spans="1:8" x14ac:dyDescent="0.3">
      <c r="A145" s="10" t="s">
        <v>36</v>
      </c>
      <c r="B145" s="16">
        <f t="shared" si="6"/>
        <v>1771</v>
      </c>
      <c r="C145" s="5">
        <v>445</v>
      </c>
      <c r="D145" s="5">
        <v>199</v>
      </c>
      <c r="E145" s="81">
        <v>1127</v>
      </c>
    </row>
    <row r="146" spans="1:8" x14ac:dyDescent="0.3">
      <c r="A146" s="10" t="s">
        <v>37</v>
      </c>
      <c r="B146" s="16">
        <f t="shared" si="6"/>
        <v>1864</v>
      </c>
      <c r="C146" s="5">
        <v>468</v>
      </c>
      <c r="D146" s="5">
        <v>210</v>
      </c>
      <c r="E146" s="81">
        <v>1186</v>
      </c>
    </row>
    <row r="147" spans="1:8" x14ac:dyDescent="0.3">
      <c r="A147" s="10" t="s">
        <v>38</v>
      </c>
      <c r="B147" s="16">
        <f t="shared" si="6"/>
        <v>1937</v>
      </c>
      <c r="C147" s="5">
        <v>487</v>
      </c>
      <c r="D147" s="5">
        <v>218</v>
      </c>
      <c r="E147" s="81">
        <v>1232</v>
      </c>
    </row>
    <row r="148" spans="1:8" x14ac:dyDescent="0.3">
      <c r="A148" s="10" t="s">
        <v>39</v>
      </c>
      <c r="B148" s="16">
        <f t="shared" si="6"/>
        <v>2010</v>
      </c>
      <c r="C148" s="5">
        <v>505</v>
      </c>
      <c r="D148" s="5">
        <v>226</v>
      </c>
      <c r="E148" s="81">
        <v>1279</v>
      </c>
    </row>
    <row r="149" spans="1:8" x14ac:dyDescent="0.3">
      <c r="A149" s="10" t="s">
        <v>40</v>
      </c>
      <c r="B149" s="16">
        <f t="shared" si="6"/>
        <v>2078</v>
      </c>
      <c r="C149" s="5">
        <v>522</v>
      </c>
      <c r="D149" s="5">
        <v>234</v>
      </c>
      <c r="E149" s="81">
        <v>1322</v>
      </c>
    </row>
    <row r="150" spans="1:8" x14ac:dyDescent="0.3">
      <c r="A150" s="10" t="s">
        <v>41</v>
      </c>
      <c r="B150" s="16">
        <f t="shared" si="6"/>
        <v>2146</v>
      </c>
      <c r="C150" s="5">
        <v>539</v>
      </c>
      <c r="D150" s="5">
        <v>242</v>
      </c>
      <c r="E150" s="81">
        <v>1365</v>
      </c>
    </row>
    <row r="151" spans="1:8" x14ac:dyDescent="0.3">
      <c r="A151" s="10" t="s">
        <v>42</v>
      </c>
      <c r="B151" s="16">
        <f t="shared" si="6"/>
        <v>2201</v>
      </c>
      <c r="C151" s="5">
        <v>553</v>
      </c>
      <c r="D151" s="5">
        <v>248</v>
      </c>
      <c r="E151" s="81">
        <v>1400</v>
      </c>
    </row>
    <row r="152" spans="1:8" ht="15" thickBot="1" x14ac:dyDescent="0.35">
      <c r="A152" s="12" t="s">
        <v>43</v>
      </c>
      <c r="B152" s="18">
        <f t="shared" si="6"/>
        <v>2256</v>
      </c>
      <c r="C152" s="13">
        <v>567</v>
      </c>
      <c r="D152" s="13">
        <v>254</v>
      </c>
      <c r="E152" s="82">
        <v>1435</v>
      </c>
    </row>
    <row r="153" spans="1:8" ht="15" thickBot="1" x14ac:dyDescent="0.35"/>
    <row r="154" spans="1:8" ht="16.2" thickBot="1" x14ac:dyDescent="0.35">
      <c r="A154" s="125" t="s">
        <v>48</v>
      </c>
      <c r="B154" s="123"/>
      <c r="C154" s="123"/>
      <c r="D154" s="123"/>
      <c r="E154" s="124"/>
      <c r="F154" s="78"/>
      <c r="G154" s="78"/>
      <c r="H154" s="78"/>
    </row>
    <row r="155" spans="1:8" s="4" customFormat="1" ht="28.8" x14ac:dyDescent="0.3">
      <c r="A155" s="6" t="s">
        <v>25</v>
      </c>
      <c r="B155" s="17" t="s">
        <v>16</v>
      </c>
      <c r="C155" s="7" t="s">
        <v>26</v>
      </c>
      <c r="D155" s="8" t="s">
        <v>129</v>
      </c>
      <c r="E155" s="80" t="s">
        <v>128</v>
      </c>
    </row>
    <row r="156" spans="1:8" x14ac:dyDescent="0.3">
      <c r="A156" s="10" t="s">
        <v>29</v>
      </c>
      <c r="B156" s="16">
        <f>SUM(C156:E156)</f>
        <v>528</v>
      </c>
      <c r="C156" s="5">
        <v>171</v>
      </c>
      <c r="D156" s="5">
        <v>77</v>
      </c>
      <c r="E156" s="81">
        <v>280</v>
      </c>
    </row>
    <row r="157" spans="1:8" x14ac:dyDescent="0.3">
      <c r="A157" s="10" t="s">
        <v>30</v>
      </c>
      <c r="B157" s="16">
        <f t="shared" ref="B157:B170" si="7">SUM(C157:E157)</f>
        <v>728</v>
      </c>
      <c r="C157" s="5">
        <v>236</v>
      </c>
      <c r="D157" s="5">
        <v>106</v>
      </c>
      <c r="E157" s="81">
        <v>386</v>
      </c>
    </row>
    <row r="158" spans="1:8" x14ac:dyDescent="0.3">
      <c r="A158" s="10" t="s">
        <v>31</v>
      </c>
      <c r="B158" s="16">
        <f t="shared" si="7"/>
        <v>883</v>
      </c>
      <c r="C158" s="5">
        <v>286</v>
      </c>
      <c r="D158" s="5">
        <v>128</v>
      </c>
      <c r="E158" s="81">
        <v>469</v>
      </c>
    </row>
    <row r="159" spans="1:8" x14ac:dyDescent="0.3">
      <c r="A159" s="10" t="s">
        <v>32</v>
      </c>
      <c r="B159" s="16">
        <f t="shared" si="7"/>
        <v>1016</v>
      </c>
      <c r="C159" s="5">
        <v>330</v>
      </c>
      <c r="D159" s="5">
        <v>147</v>
      </c>
      <c r="E159" s="81">
        <v>539</v>
      </c>
    </row>
    <row r="160" spans="1:8" x14ac:dyDescent="0.3">
      <c r="A160" s="10" t="s">
        <v>33</v>
      </c>
      <c r="B160" s="16">
        <f t="shared" si="7"/>
        <v>1121</v>
      </c>
      <c r="C160" s="5">
        <v>363</v>
      </c>
      <c r="D160" s="5">
        <v>163</v>
      </c>
      <c r="E160" s="81">
        <v>595</v>
      </c>
    </row>
    <row r="161" spans="1:5" x14ac:dyDescent="0.3">
      <c r="A161" s="10" t="s">
        <v>34</v>
      </c>
      <c r="B161" s="16">
        <f t="shared" si="7"/>
        <v>1216</v>
      </c>
      <c r="C161" s="5">
        <v>394</v>
      </c>
      <c r="D161" s="5">
        <v>177</v>
      </c>
      <c r="E161" s="81">
        <v>645</v>
      </c>
    </row>
    <row r="162" spans="1:5" x14ac:dyDescent="0.3">
      <c r="A162" s="10" t="s">
        <v>35</v>
      </c>
      <c r="B162" s="16">
        <f t="shared" si="7"/>
        <v>1301</v>
      </c>
      <c r="C162" s="5">
        <v>422</v>
      </c>
      <c r="D162" s="5">
        <v>189</v>
      </c>
      <c r="E162" s="81">
        <v>690</v>
      </c>
    </row>
    <row r="163" spans="1:5" x14ac:dyDescent="0.3">
      <c r="A163" s="10" t="s">
        <v>36</v>
      </c>
      <c r="B163" s="16">
        <f t="shared" si="7"/>
        <v>1372</v>
      </c>
      <c r="C163" s="5">
        <v>445</v>
      </c>
      <c r="D163" s="5">
        <v>199</v>
      </c>
      <c r="E163" s="81">
        <v>728</v>
      </c>
    </row>
    <row r="164" spans="1:5" x14ac:dyDescent="0.3">
      <c r="A164" s="10" t="s">
        <v>37</v>
      </c>
      <c r="B164" s="16">
        <f t="shared" si="7"/>
        <v>1444</v>
      </c>
      <c r="C164" s="5">
        <v>468</v>
      </c>
      <c r="D164" s="5">
        <v>210</v>
      </c>
      <c r="E164" s="81">
        <v>766</v>
      </c>
    </row>
    <row r="165" spans="1:5" x14ac:dyDescent="0.3">
      <c r="A165" s="10" t="s">
        <v>38</v>
      </c>
      <c r="B165" s="16">
        <f t="shared" si="7"/>
        <v>1501</v>
      </c>
      <c r="C165" s="5">
        <v>487</v>
      </c>
      <c r="D165" s="5">
        <v>218</v>
      </c>
      <c r="E165" s="81">
        <v>796</v>
      </c>
    </row>
    <row r="166" spans="1:5" x14ac:dyDescent="0.3">
      <c r="A166" s="10" t="s">
        <v>39</v>
      </c>
      <c r="B166" s="16">
        <f t="shared" si="7"/>
        <v>1558</v>
      </c>
      <c r="C166" s="5">
        <v>505</v>
      </c>
      <c r="D166" s="5">
        <v>226</v>
      </c>
      <c r="E166" s="81">
        <v>827</v>
      </c>
    </row>
    <row r="167" spans="1:5" x14ac:dyDescent="0.3">
      <c r="A167" s="10" t="s">
        <v>40</v>
      </c>
      <c r="B167" s="16">
        <f t="shared" si="7"/>
        <v>1610</v>
      </c>
      <c r="C167" s="5">
        <v>522</v>
      </c>
      <c r="D167" s="5">
        <v>234</v>
      </c>
      <c r="E167" s="81">
        <v>854</v>
      </c>
    </row>
    <row r="168" spans="1:5" x14ac:dyDescent="0.3">
      <c r="A168" s="10" t="s">
        <v>41</v>
      </c>
      <c r="B168" s="16">
        <f t="shared" si="7"/>
        <v>1663</v>
      </c>
      <c r="C168" s="5">
        <v>539</v>
      </c>
      <c r="D168" s="5">
        <v>242</v>
      </c>
      <c r="E168" s="81">
        <v>882</v>
      </c>
    </row>
    <row r="169" spans="1:5" x14ac:dyDescent="0.3">
      <c r="A169" s="10" t="s">
        <v>42</v>
      </c>
      <c r="B169" s="16">
        <f t="shared" si="7"/>
        <v>1706</v>
      </c>
      <c r="C169" s="5">
        <v>553</v>
      </c>
      <c r="D169" s="5">
        <v>248</v>
      </c>
      <c r="E169" s="81">
        <v>905</v>
      </c>
    </row>
    <row r="170" spans="1:5" ht="15" thickBot="1" x14ac:dyDescent="0.35">
      <c r="A170" s="12" t="s">
        <v>43</v>
      </c>
      <c r="B170" s="18">
        <f t="shared" si="7"/>
        <v>1748</v>
      </c>
      <c r="C170" s="13">
        <v>567</v>
      </c>
      <c r="D170" s="13">
        <v>254</v>
      </c>
      <c r="E170" s="82">
        <v>927</v>
      </c>
    </row>
  </sheetData>
  <sheetProtection algorithmName="SHA-512" hashValue="2Vn90aY9nFYw5RaKawUn5M305n8bF3Ky611oqkqo090Zb+bVaOWUpqaW1EjBCo8OhoZZgh25qEJsbDsItaMUvA==" saltValue="bWV/lNR3QzmI+RlSuBpXmA==" spinCount="100000" sheet="1" objects="1" scenarios="1"/>
  <mergeCells count="19">
    <mergeCell ref="A118:F118"/>
    <mergeCell ref="A136:E136"/>
    <mergeCell ref="A154:E154"/>
    <mergeCell ref="A7:H9"/>
    <mergeCell ref="A11:H12"/>
    <mergeCell ref="A13:H14"/>
    <mergeCell ref="B16:H19"/>
    <mergeCell ref="B20:H22"/>
    <mergeCell ref="B23:H24"/>
    <mergeCell ref="B25:H26"/>
    <mergeCell ref="B27:H28"/>
    <mergeCell ref="A16:A17"/>
    <mergeCell ref="A15:H15"/>
    <mergeCell ref="A99:E99"/>
    <mergeCell ref="F1:H5"/>
    <mergeCell ref="A37:D37"/>
    <mergeCell ref="A44:E44"/>
    <mergeCell ref="A63:E63"/>
    <mergeCell ref="A81:E81"/>
  </mergeCells>
  <pageMargins left="0.7" right="0.7" top="0.75" bottom="0.75" header="0.3" footer="0.3"/>
  <pageSetup orientation="landscape" r:id="rId1"/>
  <headerFooter>
    <oddFooter>&amp;L&amp;"Avenir Next LT Pro,Regular"&amp;10Planning, Development and Sustainability
406.258.4642 | pds@missoulacounty.us&amp;R&amp;"Avenir Next LT Pro,Regular"&amp;10IMPACT FEE SCHEDULE
&amp;P OF &amp;N</oddFooter>
  </headerFooter>
  <rowBreaks count="3" manualBreakCount="3">
    <brk id="60" max="16383" man="1"/>
    <brk id="89" max="16383" man="1"/>
    <brk id="11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54A1C-E39E-452F-8986-EE50F1C7826D}">
  <sheetPr>
    <pageSetUpPr autoPageBreaks="0"/>
  </sheetPr>
  <dimension ref="A1:I35"/>
  <sheetViews>
    <sheetView showGridLines="0" tabSelected="1" topLeftCell="A12" zoomScale="75" zoomScaleNormal="75" workbookViewId="0">
      <selection activeCell="C22" sqref="C22"/>
    </sheetView>
  </sheetViews>
  <sheetFormatPr defaultRowHeight="14.4" x14ac:dyDescent="0.3"/>
  <cols>
    <col min="1" max="1" width="20.5546875" customWidth="1"/>
    <col min="2" max="2" width="14.5546875" customWidth="1"/>
    <col min="3" max="3" width="20.6640625" customWidth="1"/>
    <col min="4" max="4" width="15.33203125" customWidth="1"/>
    <col min="5" max="5" width="31.6640625" style="1" customWidth="1"/>
    <col min="6" max="6" width="30.109375" customWidth="1"/>
  </cols>
  <sheetData>
    <row r="1" spans="1:9" ht="15" customHeight="1" x14ac:dyDescent="0.3">
      <c r="A1" s="33"/>
      <c r="B1" s="34"/>
      <c r="C1" s="34"/>
      <c r="D1" s="34"/>
      <c r="E1" s="129" t="s">
        <v>49</v>
      </c>
      <c r="F1" s="130"/>
      <c r="G1" s="55"/>
      <c r="H1" s="55"/>
      <c r="I1" s="55"/>
    </row>
    <row r="2" spans="1:9" ht="15" customHeight="1" x14ac:dyDescent="0.3">
      <c r="A2" s="39"/>
      <c r="B2" s="28"/>
      <c r="C2" s="28"/>
      <c r="D2" s="53"/>
      <c r="E2" s="131"/>
      <c r="F2" s="132"/>
      <c r="G2" s="55"/>
      <c r="H2" s="55"/>
      <c r="I2" s="55"/>
    </row>
    <row r="3" spans="1:9" ht="15" customHeight="1" x14ac:dyDescent="0.3">
      <c r="A3" s="35"/>
      <c r="B3" s="28"/>
      <c r="C3" s="28"/>
      <c r="D3" s="53"/>
      <c r="E3" s="131"/>
      <c r="F3" s="132"/>
      <c r="G3" s="55"/>
      <c r="H3" s="55"/>
      <c r="I3" s="55"/>
    </row>
    <row r="4" spans="1:9" ht="15" customHeight="1" x14ac:dyDescent="0.3">
      <c r="A4" s="36"/>
      <c r="B4" s="28"/>
      <c r="C4" s="28"/>
      <c r="D4" s="53"/>
      <c r="E4" s="133" t="s">
        <v>50</v>
      </c>
      <c r="F4" s="134"/>
      <c r="G4" s="56"/>
      <c r="H4" s="56"/>
      <c r="I4" s="56"/>
    </row>
    <row r="5" spans="1:9" x14ac:dyDescent="0.3">
      <c r="A5" s="39"/>
      <c r="B5" s="28"/>
      <c r="C5" s="28"/>
      <c r="D5" s="53"/>
      <c r="E5" s="133"/>
      <c r="F5" s="134"/>
      <c r="G5" s="56"/>
      <c r="H5" s="56"/>
      <c r="I5" s="56"/>
    </row>
    <row r="6" spans="1:9" ht="15.75" customHeight="1" x14ac:dyDescent="0.3">
      <c r="A6" s="35"/>
      <c r="B6" s="28"/>
      <c r="C6" s="28"/>
      <c r="D6" s="54"/>
      <c r="E6" s="133"/>
      <c r="F6" s="134"/>
      <c r="G6" s="56"/>
      <c r="H6" s="56"/>
      <c r="I6" s="56"/>
    </row>
    <row r="7" spans="1:9" ht="15" thickBot="1" x14ac:dyDescent="0.35">
      <c r="A7" s="42"/>
      <c r="B7" s="43"/>
      <c r="C7" s="44"/>
      <c r="D7" s="37"/>
      <c r="E7" s="135"/>
      <c r="F7" s="136"/>
      <c r="G7" s="56"/>
      <c r="H7" s="56"/>
      <c r="I7" s="56"/>
    </row>
    <row r="8" spans="1:9" ht="15" thickBot="1" x14ac:dyDescent="0.35">
      <c r="A8" s="28"/>
      <c r="B8" s="32"/>
      <c r="C8" s="40"/>
      <c r="D8" s="28"/>
      <c r="E8" s="41"/>
      <c r="F8" s="41"/>
      <c r="G8" s="41"/>
      <c r="H8" s="41"/>
      <c r="I8" s="41"/>
    </row>
    <row r="9" spans="1:9" ht="30.75" customHeight="1" x14ac:dyDescent="0.45">
      <c r="A9" s="154" t="s">
        <v>136</v>
      </c>
      <c r="B9" s="155"/>
      <c r="C9" s="155"/>
      <c r="D9" s="155"/>
      <c r="E9" s="155"/>
      <c r="F9" s="156"/>
      <c r="G9" s="52"/>
      <c r="H9" s="52"/>
      <c r="I9" s="52"/>
    </row>
    <row r="10" spans="1:9" ht="30.75" customHeight="1" thickBot="1" x14ac:dyDescent="0.5">
      <c r="A10" s="157" t="s">
        <v>51</v>
      </c>
      <c r="B10" s="158"/>
      <c r="C10" s="158"/>
      <c r="D10" s="158"/>
      <c r="E10" s="158"/>
      <c r="F10" s="159"/>
      <c r="G10" s="52"/>
      <c r="H10" s="52"/>
      <c r="I10" s="52"/>
    </row>
    <row r="11" spans="1:9" ht="22.5" customHeight="1" thickBot="1" x14ac:dyDescent="0.35">
      <c r="A11" s="28"/>
      <c r="B11" s="28"/>
      <c r="C11" s="28"/>
      <c r="D11" s="28"/>
      <c r="E11" s="29"/>
      <c r="F11" s="30"/>
    </row>
    <row r="12" spans="1:9" ht="18.75" customHeight="1" x14ac:dyDescent="0.3">
      <c r="A12" s="144" t="s">
        <v>52</v>
      </c>
      <c r="B12" s="145"/>
      <c r="C12" s="146"/>
      <c r="D12" s="31"/>
      <c r="E12" s="150" t="s">
        <v>53</v>
      </c>
      <c r="F12" s="151"/>
    </row>
    <row r="13" spans="1:9" ht="14.25" customHeight="1" thickBot="1" x14ac:dyDescent="0.35">
      <c r="A13" s="147"/>
      <c r="B13" s="148"/>
      <c r="C13" s="149"/>
      <c r="D13" s="28"/>
      <c r="E13" s="152"/>
      <c r="F13" s="153"/>
    </row>
    <row r="14" spans="1:9" ht="41.25" customHeight="1" thickBot="1" x14ac:dyDescent="0.45">
      <c r="A14" s="141" t="s">
        <v>54</v>
      </c>
      <c r="B14" s="142"/>
      <c r="C14" s="143"/>
      <c r="D14" s="28"/>
      <c r="E14" s="137" t="s">
        <v>55</v>
      </c>
      <c r="F14" s="138"/>
    </row>
    <row r="15" spans="1:9" ht="57.75" customHeight="1" thickBot="1" x14ac:dyDescent="0.35">
      <c r="A15" s="169" t="s">
        <v>56</v>
      </c>
      <c r="B15" s="170"/>
      <c r="C15" s="71"/>
      <c r="D15" s="28"/>
      <c r="E15" s="76" t="s">
        <v>57</v>
      </c>
      <c r="F15" s="49">
        <f>Math!E31</f>
        <v>0</v>
      </c>
      <c r="G15" s="38"/>
    </row>
    <row r="16" spans="1:9" ht="30" customHeight="1" thickBot="1" x14ac:dyDescent="0.35">
      <c r="A16" s="169" t="s">
        <v>58</v>
      </c>
      <c r="B16" s="170"/>
      <c r="C16" s="116"/>
      <c r="D16" s="28"/>
      <c r="E16" s="45"/>
      <c r="F16" s="47"/>
    </row>
    <row r="17" spans="1:6" ht="31.8" thickBot="1" x14ac:dyDescent="0.35">
      <c r="A17" s="147" t="s">
        <v>60</v>
      </c>
      <c r="B17" s="148"/>
      <c r="C17" s="149"/>
      <c r="D17" s="28"/>
      <c r="E17" s="76" t="s">
        <v>61</v>
      </c>
      <c r="F17" s="49">
        <f>Math!F31</f>
        <v>0</v>
      </c>
    </row>
    <row r="18" spans="1:6" ht="34.5" customHeight="1" thickBot="1" x14ac:dyDescent="0.35">
      <c r="A18" s="176" t="s">
        <v>62</v>
      </c>
      <c r="B18" s="177"/>
      <c r="C18" s="178"/>
      <c r="D18" s="28"/>
      <c r="E18" s="45"/>
      <c r="F18" s="47"/>
    </row>
    <row r="19" spans="1:6" ht="46.5" customHeight="1" thickBot="1" x14ac:dyDescent="0.35">
      <c r="A19" s="179" t="s">
        <v>63</v>
      </c>
      <c r="B19" s="180"/>
      <c r="C19" s="117" t="s">
        <v>64</v>
      </c>
      <c r="D19" s="28"/>
      <c r="E19" s="76" t="s">
        <v>65</v>
      </c>
      <c r="F19" s="49">
        <f>IF($C$20="yes", Math!G31, 0)</f>
        <v>0</v>
      </c>
    </row>
    <row r="20" spans="1:6" ht="28.5" customHeight="1" thickBot="1" x14ac:dyDescent="0.35">
      <c r="A20" s="181" t="s">
        <v>66</v>
      </c>
      <c r="B20" s="182"/>
      <c r="C20" s="72"/>
      <c r="D20" s="28"/>
      <c r="E20" s="45"/>
      <c r="F20" s="47"/>
    </row>
    <row r="21" spans="1:6" ht="31.8" thickBot="1" x14ac:dyDescent="0.35">
      <c r="A21" s="173" t="s">
        <v>67</v>
      </c>
      <c r="B21" s="174"/>
      <c r="C21" s="175"/>
      <c r="D21" s="28"/>
      <c r="E21" s="76" t="s">
        <v>132</v>
      </c>
      <c r="F21" s="49">
        <f>Math!H31</f>
        <v>0</v>
      </c>
    </row>
    <row r="22" spans="1:6" ht="37.5" customHeight="1" thickBot="1" x14ac:dyDescent="0.35">
      <c r="A22" s="183" t="s">
        <v>68</v>
      </c>
      <c r="B22" s="184"/>
      <c r="C22" s="51"/>
      <c r="D22" s="28"/>
      <c r="E22" s="45"/>
      <c r="F22" s="47"/>
    </row>
    <row r="23" spans="1:6" ht="42.75" customHeight="1" thickBot="1" x14ac:dyDescent="0.35">
      <c r="A23" s="139" t="s">
        <v>70</v>
      </c>
      <c r="B23" s="140"/>
      <c r="C23" s="118" t="s">
        <v>64</v>
      </c>
      <c r="D23" s="28"/>
      <c r="E23" s="165" t="s">
        <v>71</v>
      </c>
      <c r="F23" s="49">
        <f>IF($C$16="YES", (SUM(F15,F17,F19,F21)*List!B65), 0)</f>
        <v>0</v>
      </c>
    </row>
    <row r="24" spans="1:6" ht="41.25" customHeight="1" thickBot="1" x14ac:dyDescent="0.35">
      <c r="A24" s="167" t="s">
        <v>12</v>
      </c>
      <c r="B24" s="112" t="s">
        <v>72</v>
      </c>
      <c r="C24" s="113"/>
      <c r="D24" s="28"/>
      <c r="E24" s="166"/>
      <c r="F24" s="50"/>
    </row>
    <row r="25" spans="1:6" ht="40.5" customHeight="1" thickBot="1" x14ac:dyDescent="0.35">
      <c r="A25" s="168"/>
      <c r="B25" s="114" t="s">
        <v>73</v>
      </c>
      <c r="C25" s="115"/>
      <c r="D25" s="28"/>
      <c r="E25" s="48"/>
      <c r="F25" s="46"/>
    </row>
    <row r="26" spans="1:6" ht="36" customHeight="1" x14ac:dyDescent="0.3">
      <c r="A26" s="167" t="s">
        <v>6</v>
      </c>
      <c r="B26" s="185" t="s">
        <v>72</v>
      </c>
      <c r="C26" s="187"/>
      <c r="D26" s="28"/>
      <c r="E26" s="160" t="s">
        <v>74</v>
      </c>
      <c r="F26" s="162">
        <f>SUM(F15,F17,F19,F21,F23)</f>
        <v>0</v>
      </c>
    </row>
    <row r="27" spans="1:6" ht="48" customHeight="1" thickBot="1" x14ac:dyDescent="0.35">
      <c r="A27" s="168"/>
      <c r="B27" s="186"/>
      <c r="C27" s="188"/>
      <c r="D27" s="28"/>
      <c r="E27" s="160"/>
      <c r="F27" s="163"/>
    </row>
    <row r="28" spans="1:6" ht="47.25" customHeight="1" thickBot="1" x14ac:dyDescent="0.35">
      <c r="A28" s="167" t="s">
        <v>8</v>
      </c>
      <c r="B28" s="185" t="s">
        <v>72</v>
      </c>
      <c r="C28" s="187"/>
      <c r="E28" s="161"/>
      <c r="F28" s="164"/>
    </row>
    <row r="29" spans="1:6" ht="39.75" customHeight="1" thickBot="1" x14ac:dyDescent="0.35">
      <c r="A29" s="168"/>
      <c r="B29" s="186"/>
      <c r="C29" s="188"/>
    </row>
    <row r="30" spans="1:6" ht="32.25" customHeight="1" x14ac:dyDescent="0.3">
      <c r="A30" s="171" t="s">
        <v>75</v>
      </c>
      <c r="B30" s="185" t="s">
        <v>72</v>
      </c>
      <c r="C30" s="187"/>
    </row>
    <row r="31" spans="1:6" ht="44.25" customHeight="1" thickBot="1" x14ac:dyDescent="0.35">
      <c r="A31" s="172"/>
      <c r="B31" s="186"/>
      <c r="C31" s="188"/>
    </row>
    <row r="32" spans="1:6" ht="32.25" customHeight="1" x14ac:dyDescent="0.3">
      <c r="A32" s="167" t="s">
        <v>10</v>
      </c>
      <c r="B32" s="185" t="s">
        <v>72</v>
      </c>
      <c r="C32" s="187"/>
    </row>
    <row r="33" spans="1:3" ht="31.5" customHeight="1" thickBot="1" x14ac:dyDescent="0.35">
      <c r="A33" s="168"/>
      <c r="B33" s="186"/>
      <c r="C33" s="188"/>
    </row>
    <row r="35" spans="1:3" x14ac:dyDescent="0.3">
      <c r="A35" s="26"/>
    </row>
  </sheetData>
  <sheetProtection algorithmName="SHA-512" hashValue="MMfGoMnpcDaxanHroAczsA2XwD1j3a4MBD6mzBAAXVPeGQWl+0XPEjTqqIGq1FJ+Jnf4keFOCS7tu9Cfh1uP0w==" saltValue="u5jIJXZOY1iFhspJvvjGlA==" spinCount="100000" sheet="1" selectLockedCells="1"/>
  <mergeCells count="33">
    <mergeCell ref="B26:B27"/>
    <mergeCell ref="C26:C27"/>
    <mergeCell ref="C28:C29"/>
    <mergeCell ref="C30:C31"/>
    <mergeCell ref="C32:C33"/>
    <mergeCell ref="B28:B29"/>
    <mergeCell ref="B30:B31"/>
    <mergeCell ref="B32:B33"/>
    <mergeCell ref="E26:E28"/>
    <mergeCell ref="F26:F28"/>
    <mergeCell ref="E23:E24"/>
    <mergeCell ref="A32:A33"/>
    <mergeCell ref="A15:B15"/>
    <mergeCell ref="A16:B16"/>
    <mergeCell ref="A30:A31"/>
    <mergeCell ref="A17:C17"/>
    <mergeCell ref="A21:C21"/>
    <mergeCell ref="A18:C18"/>
    <mergeCell ref="A24:A25"/>
    <mergeCell ref="A26:A27"/>
    <mergeCell ref="A19:B19"/>
    <mergeCell ref="A20:B20"/>
    <mergeCell ref="A22:B22"/>
    <mergeCell ref="A28:A29"/>
    <mergeCell ref="E1:F3"/>
    <mergeCell ref="E4:F7"/>
    <mergeCell ref="E14:F14"/>
    <mergeCell ref="A23:B23"/>
    <mergeCell ref="A14:C14"/>
    <mergeCell ref="A12:C13"/>
    <mergeCell ref="E12:F13"/>
    <mergeCell ref="A9:F9"/>
    <mergeCell ref="A10:F10"/>
  </mergeCells>
  <conditionalFormatting sqref="C22 C24:C25">
    <cfRule type="expression" dxfId="4" priority="2">
      <formula>OR(Category="Residential", Category="Mixed")</formula>
    </cfRule>
  </conditionalFormatting>
  <conditionalFormatting sqref="C26">
    <cfRule type="expression" dxfId="3" priority="6">
      <formula>OR(Category="Industrial", Category="Mixed")</formula>
    </cfRule>
  </conditionalFormatting>
  <conditionalFormatting sqref="C28">
    <cfRule type="expression" dxfId="2" priority="5">
      <formula>OR(Category="INSTITUTIONAL", Category="MIXED")</formula>
    </cfRule>
  </conditionalFormatting>
  <conditionalFormatting sqref="C30">
    <cfRule type="expression" dxfId="1" priority="4">
      <formula>OR(Category="RETAIL/COMMERCIAL", Category="MIXED")</formula>
    </cfRule>
  </conditionalFormatting>
  <conditionalFormatting sqref="C32">
    <cfRule type="expression" dxfId="0" priority="3">
      <formula>OR(Category="OFFICE", Category="MIXED")</formula>
    </cfRule>
  </conditionalFormatting>
  <dataValidations xWindow="411" yWindow="792" count="3">
    <dataValidation type="whole" operator="greaterThan" showInputMessage="1" showErrorMessage="1" prompt="Enter proposed interior square footage per residential unit or net interior square footage of an addition. This is the proposed living space area that is measured from the inside of the exterior walls and does not include garages or decks." sqref="C24" xr:uid="{39F3F8D3-8780-4CB9-9437-D441B241392E}">
      <formula1>C25</formula1>
    </dataValidation>
    <dataValidation type="whole" operator="greaterThanOrEqual" allowBlank="1" showInputMessage="1" showErrorMessage="1" prompt="Enter existing interior square footage if the project is a residential addition. Otherwise, enter zero (0). This is the living space area that is measured from the inside of the exterior walls  and does not include garages or decks." sqref="C25" xr:uid="{07CD5A72-B190-4580-9E1C-82D1497AC32F}">
      <formula1>0</formula1>
    </dataValidation>
    <dataValidation type="whole" operator="greaterThan" allowBlank="1" showInputMessage="1" showErrorMessage="1" prompt="Enter the proposed interior square footage." sqref="C32 C30 C28 C26" xr:uid="{D9E590DE-1C46-4F5B-8ACF-154C211887E4}">
      <formula1>C27</formula1>
    </dataValidation>
  </dataValidations>
  <hyperlinks>
    <hyperlink ref="C19" r:id="rId1" xr:uid="{3E7C4334-5E18-4C84-9468-781586C74CED}"/>
    <hyperlink ref="C23" r:id="rId2" xr:uid="{30453869-76EF-493B-B457-3128CF990DBA}"/>
  </hyperlinks>
  <pageMargins left="0.7" right="0.7" top="0.75" bottom="0.75" header="0.3" footer="0.3"/>
  <pageSetup orientation="portrait" r:id="rId3"/>
  <headerFooter>
    <oddFooter>&amp;C&amp;8For multifamily residential and residential/non-residential mixed use estimates, 
please contact Planning, Development and Sustainability at 406-258-4657 or pds@missoulacounty.us</oddFooter>
  </headerFooter>
  <drawing r:id="rId4"/>
  <extLst>
    <ext xmlns:x14="http://schemas.microsoft.com/office/spreadsheetml/2009/9/main" uri="{CCE6A557-97BC-4b89-ADB6-D9C93CAAB3DF}">
      <x14:dataValidations xmlns:xm="http://schemas.microsoft.com/office/excel/2006/main" xWindow="411" yWindow="792" count="4">
        <x14:dataValidation type="list" allowBlank="1" showInputMessage="1" showErrorMessage="1" promptTitle="Select One" prompt="Must select one from the drop down list" xr:uid="{A5148E90-ECE3-4836-AFB2-7F5AEB0CA247}">
          <x14:formula1>
            <xm:f>List!$A$65:$A$66</xm:f>
          </x14:formula1>
          <xm:sqref>C17 C16</xm:sqref>
        </x14:dataValidation>
        <x14:dataValidation type="list" allowBlank="1" showInputMessage="1" showErrorMessage="1" promptTitle="Select One" prompt="Must select one from the drop down list" xr:uid="{0B2AC8BE-9AE1-46E1-B5FB-01E5D09E8BFB}">
          <x14:formula1>
            <xm:f>List!$A$69:$A$70</xm:f>
          </x14:formula1>
          <xm:sqref>C20:C21</xm:sqref>
        </x14:dataValidation>
        <x14:dataValidation type="list" allowBlank="1" showInputMessage="1" showErrorMessage="1" promptTitle="Select One - Residential Only" prompt="Must select one from drop down list - for Residential Only" xr:uid="{75A078C7-376F-4A47-928C-01793C21B977}">
          <x14:formula1>
            <xm:f>List!$A$73:$A$77</xm:f>
          </x14:formula1>
          <xm:sqref>C22</xm:sqref>
        </x14:dataValidation>
        <x14:dataValidation type="list" allowBlank="1" showInputMessage="1" showErrorMessage="1" prompt="Must select one from the drop down list.  &quot;Mixed&quot; is any combination of categories." xr:uid="{F2F9171E-36E6-45F8-976F-4271E893B11B}">
          <x14:formula1>
            <xm:f>List!$A$57:$A$62</xm:f>
          </x14:formula1>
          <xm:sqref>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77E82-43FF-4362-AA0E-A8EE6DF5114D}">
  <dimension ref="A1:J31"/>
  <sheetViews>
    <sheetView workbookViewId="0">
      <selection activeCell="D27" sqref="D27"/>
    </sheetView>
  </sheetViews>
  <sheetFormatPr defaultRowHeight="14.4" x14ac:dyDescent="0.3"/>
  <cols>
    <col min="1" max="1" width="30.5546875" customWidth="1"/>
    <col min="2" max="2" width="10.33203125" customWidth="1"/>
    <col min="3" max="3" width="13.5546875" style="27" customWidth="1"/>
    <col min="4" max="4" width="21.6640625" style="1" customWidth="1"/>
    <col min="5" max="5" width="10.44140625" style="1" customWidth="1"/>
    <col min="6" max="6" width="12.88671875" style="1" customWidth="1"/>
    <col min="7" max="7" width="16.6640625" style="1" customWidth="1"/>
    <col min="8" max="8" width="11.88671875" style="1" customWidth="1"/>
    <col min="9" max="9" width="10.6640625" style="1" customWidth="1"/>
    <col min="10" max="10" width="12.5546875" style="1" customWidth="1"/>
  </cols>
  <sheetData>
    <row r="1" spans="1:10" s="57" customFormat="1" ht="28.8" x14ac:dyDescent="0.3">
      <c r="A1" s="57" t="s">
        <v>12</v>
      </c>
      <c r="B1" s="58" t="s">
        <v>76</v>
      </c>
      <c r="C1" s="58" t="s">
        <v>77</v>
      </c>
      <c r="D1" s="58" t="s">
        <v>78</v>
      </c>
      <c r="E1" s="58" t="s">
        <v>17</v>
      </c>
      <c r="F1" s="58" t="s">
        <v>79</v>
      </c>
      <c r="G1" s="58" t="s">
        <v>80</v>
      </c>
      <c r="H1" s="58" t="s">
        <v>27</v>
      </c>
      <c r="I1" s="58" t="s">
        <v>28</v>
      </c>
      <c r="J1" s="58" t="s">
        <v>16</v>
      </c>
    </row>
    <row r="2" spans="1:10" x14ac:dyDescent="0.3">
      <c r="A2" s="59" t="s">
        <v>81</v>
      </c>
      <c r="B2" s="59">
        <f>SUM(Estimator!C24,Estimator!C25)</f>
        <v>0</v>
      </c>
      <c r="C2" s="60"/>
      <c r="D2" s="61"/>
      <c r="E2" s="61"/>
      <c r="F2" s="61"/>
      <c r="G2" s="61"/>
      <c r="H2" s="61"/>
      <c r="I2" s="61"/>
      <c r="J2" s="61"/>
    </row>
    <row r="3" spans="1:10" ht="28.8" x14ac:dyDescent="0.3">
      <c r="A3" s="20" t="s">
        <v>82</v>
      </c>
      <c r="B3">
        <f>IFERROR(IF(OR(Estimator!$C$15="Residential", Estimator!$C$15="Mixed"), VLOOKUP(B2, List!$A$80:$C$94, 3), 0), 0)</f>
        <v>0</v>
      </c>
      <c r="D3" s="1">
        <f>IFERROR(_xlfn.XLOOKUP($B3, List!$B$8:$B$22, List!C$8:C$22, 0), 0)</f>
        <v>0</v>
      </c>
      <c r="E3" s="1">
        <f>IFERROR(_xlfn.XLOOKUP($B3, List!$B$8:$B$22, List!D$8:D$22, 0), 0)</f>
        <v>0</v>
      </c>
      <c r="F3" s="1">
        <f>IFERROR(_xlfn.XLOOKUP($B3, List!$B$8:$B$22, List!E$8:E$22, 0), 0)</f>
        <v>0</v>
      </c>
      <c r="G3" s="1">
        <f>IFERROR(IF(Estimator!$C$20="Yes", _xlfn.XLOOKUP($B3, List!$B$8:$B$22, List!F$8:F$22, 0), 0), 0)</f>
        <v>0</v>
      </c>
      <c r="H3" s="1">
        <f>IFERROR(INDEX(List!$C$24:$G$38, MATCH(Math!$B3, List!$B$24:$B$38, 0), MATCH(Estimator!$C$22, List!$C$23:$G$23, 0)), 0)</f>
        <v>0</v>
      </c>
      <c r="I3" s="1">
        <f>IFERROR(INDEX(List!$C$40:$G$54, MATCH(Math!$B3, List!$B$40:$B$54, 0), MATCH(Estimator!$C$22, List!$C$39:$G$39, 0)), 0)</f>
        <v>0</v>
      </c>
      <c r="J3" s="1">
        <f>SUM(D3:I3)</f>
        <v>0</v>
      </c>
    </row>
    <row r="4" spans="1:10" ht="28.8" x14ac:dyDescent="0.3">
      <c r="A4" s="20" t="s">
        <v>83</v>
      </c>
      <c r="B4">
        <f>IFERROR(IF(OR(Estimator!$C$15="Residential", Estimator!$C$15="Mixed"), VLOOKUP(Estimator!C25, List!$A$80:$C$94, 3), 0), 0)</f>
        <v>0</v>
      </c>
      <c r="D4" s="1">
        <f>IFERROR(_xlfn.XLOOKUP($B4, List!$B$8:$B$22, List!C$8:C$22, 0), 0)</f>
        <v>0</v>
      </c>
      <c r="E4" s="1">
        <f>IFERROR(_xlfn.XLOOKUP($B4, List!$B$8:$B$22, List!D$8:D$22, 0), 0)</f>
        <v>0</v>
      </c>
      <c r="F4" s="1">
        <f>IFERROR(_xlfn.XLOOKUP($B4, List!$B$8:$B$22, List!E$8:E$22, 0), 0)</f>
        <v>0</v>
      </c>
      <c r="G4" s="1">
        <f>IFERROR(IF(Estimator!$C$20="Yes", _xlfn.XLOOKUP($B4, List!$B$8:$B$22, List!F$8:F$22, 0), 0), 0)</f>
        <v>0</v>
      </c>
      <c r="H4" s="1">
        <f>IFERROR(INDEX(List!$C$24:$G$38, MATCH(Math!$B4, List!$B$24:$B$38, 0), MATCH(Estimator!$C$22, List!$C$23:$G$23, 0)), 0)</f>
        <v>0</v>
      </c>
      <c r="I4" s="1">
        <f>IFERROR(INDEX(List!$C$40:$G$54, MATCH(Math!$B4, List!$B$40:$B$54, 0), MATCH(Estimator!$C$22, List!$C$39:$G$39, 0)), 0)</f>
        <v>0</v>
      </c>
      <c r="J4" s="1">
        <f t="shared" ref="J4:J26" si="0">SUM(D4:I4)</f>
        <v>0</v>
      </c>
    </row>
    <row r="5" spans="1:10" x14ac:dyDescent="0.3">
      <c r="A5" s="20" t="s">
        <v>84</v>
      </c>
      <c r="B5">
        <f>SUM(Estimator!C24, -Estimator!C25)</f>
        <v>0</v>
      </c>
      <c r="D5" s="1">
        <f>SUM(D3-D4)</f>
        <v>0</v>
      </c>
      <c r="E5" s="1">
        <f t="shared" ref="E5:I5" si="1">SUM(E3-E4)</f>
        <v>0</v>
      </c>
      <c r="F5" s="1">
        <f t="shared" si="1"/>
        <v>0</v>
      </c>
      <c r="G5" s="1">
        <f t="shared" si="1"/>
        <v>0</v>
      </c>
      <c r="H5" s="1">
        <f t="shared" si="1"/>
        <v>0</v>
      </c>
      <c r="I5" s="1">
        <f t="shared" si="1"/>
        <v>0</v>
      </c>
      <c r="J5" s="1">
        <f t="shared" si="0"/>
        <v>0</v>
      </c>
    </row>
    <row r="6" spans="1:10" x14ac:dyDescent="0.3">
      <c r="A6" s="26" t="s">
        <v>6</v>
      </c>
      <c r="J6" s="1">
        <f t="shared" si="0"/>
        <v>0</v>
      </c>
    </row>
    <row r="7" spans="1:10" x14ac:dyDescent="0.3">
      <c r="A7" s="59" t="s">
        <v>81</v>
      </c>
      <c r="B7" s="59">
        <f>SUM(B8,B9)</f>
        <v>0</v>
      </c>
      <c r="C7" s="60">
        <f>IFERROR(B8/$B$27, 0)</f>
        <v>0</v>
      </c>
      <c r="D7" s="61">
        <f>D8*$C$7</f>
        <v>0</v>
      </c>
      <c r="E7" s="61">
        <f t="shared" ref="E7:G7" si="2">E8*$C$7</f>
        <v>0</v>
      </c>
      <c r="F7" s="61">
        <f t="shared" si="2"/>
        <v>0</v>
      </c>
      <c r="G7" s="61">
        <f t="shared" si="2"/>
        <v>0</v>
      </c>
      <c r="H7" s="61"/>
      <c r="I7" s="61"/>
      <c r="J7" s="61">
        <f t="shared" si="0"/>
        <v>0</v>
      </c>
    </row>
    <row r="8" spans="1:10" x14ac:dyDescent="0.3">
      <c r="A8" t="s">
        <v>85</v>
      </c>
      <c r="B8">
        <f>IF(OR(Estimator!$C$15="Industrial", Estimator!$C$15="Mixed",), Estimator!C26, 0)</f>
        <v>0</v>
      </c>
      <c r="C8" s="27">
        <f>IFERROR(B8/B7, 0)</f>
        <v>0</v>
      </c>
      <c r="D8" s="1">
        <f>IFERROR(_xlfn.XLOOKUP(Math!$A$6, List!$A$3:$A$6, List!C$3:C$6, 0)*$C$8, 0)</f>
        <v>0</v>
      </c>
      <c r="E8" s="1">
        <f>IFERROR(_xlfn.XLOOKUP(Math!$A$6, List!$A$3:$A$6, List!D$3:D$6, 0)*$C$8, 0)</f>
        <v>0</v>
      </c>
      <c r="F8" s="1">
        <f>IFERROR(_xlfn.XLOOKUP(Math!$A$6, List!$A$3:$A$6, List!E$3:E$6, 0)*$C$8, 0)</f>
        <v>0</v>
      </c>
      <c r="G8" s="1">
        <f>IFERROR(IF(Estimator!$C$20="Yes", (_xlfn.XLOOKUP(Math!$A$6, List!$A$3:$A$6, List!F$3:F$6, 0)*$C$8), 0), 0)</f>
        <v>0</v>
      </c>
      <c r="J8" s="1">
        <f t="shared" si="0"/>
        <v>0</v>
      </c>
    </row>
    <row r="9" spans="1:10" x14ac:dyDescent="0.3">
      <c r="A9" t="s">
        <v>86</v>
      </c>
      <c r="B9">
        <f>IF(OR(Estimator!$C$15="Industrial", Estimator!$C$15="Mixed",), Estimator!C27, 0)</f>
        <v>0</v>
      </c>
      <c r="J9" s="1">
        <f t="shared" si="0"/>
        <v>0</v>
      </c>
    </row>
    <row r="10" spans="1:10" x14ac:dyDescent="0.3">
      <c r="A10" s="62" t="s">
        <v>84</v>
      </c>
      <c r="B10" s="62">
        <f>SUM(B8, -B9)</f>
        <v>0</v>
      </c>
      <c r="C10" s="63">
        <f>B10/1000</f>
        <v>0</v>
      </c>
      <c r="D10" s="64">
        <f>IFERROR(_xlfn.XLOOKUP(Math!$A$6, List!$A$3:$A$6, List!C$3:C$6, 0)*$C10, 0)</f>
        <v>0</v>
      </c>
      <c r="E10" s="64">
        <f>IFERROR(_xlfn.XLOOKUP(Math!$A$6, List!$A$3:$A$6, List!D$3:D$6, 0)*$C10, 0)</f>
        <v>0</v>
      </c>
      <c r="F10" s="64">
        <f>IFERROR(_xlfn.XLOOKUP(Math!$A$6, List!$A$3:$A$6, List!E$3:E$6, 0)*$C10, 0)</f>
        <v>0</v>
      </c>
      <c r="G10" s="64">
        <f>IFERROR(_xlfn.XLOOKUP(Math!$A$6, List!$A$3:$A$6, List!F$3:F$6, 0)*$C10, 0)</f>
        <v>0</v>
      </c>
      <c r="H10" s="64"/>
      <c r="I10" s="64"/>
      <c r="J10" s="64">
        <f t="shared" si="0"/>
        <v>0</v>
      </c>
    </row>
    <row r="11" spans="1:10" x14ac:dyDescent="0.3">
      <c r="A11" s="26" t="s">
        <v>8</v>
      </c>
      <c r="J11" s="1">
        <f t="shared" si="0"/>
        <v>0</v>
      </c>
    </row>
    <row r="12" spans="1:10" x14ac:dyDescent="0.3">
      <c r="A12" s="59" t="s">
        <v>81</v>
      </c>
      <c r="B12" s="59">
        <f>SUM(B13,B14)</f>
        <v>0</v>
      </c>
      <c r="C12" s="60">
        <f>IFERROR(B13/$B$27, 0)</f>
        <v>0</v>
      </c>
      <c r="D12" s="61">
        <f>D13*$C$12</f>
        <v>0</v>
      </c>
      <c r="E12" s="61">
        <f t="shared" ref="E12:G12" si="3">E13*$C$12</f>
        <v>0</v>
      </c>
      <c r="F12" s="61">
        <f t="shared" si="3"/>
        <v>0</v>
      </c>
      <c r="G12" s="61">
        <f t="shared" si="3"/>
        <v>0</v>
      </c>
      <c r="H12" s="61"/>
      <c r="I12" s="61"/>
      <c r="J12" s="61">
        <f t="shared" si="0"/>
        <v>0</v>
      </c>
    </row>
    <row r="13" spans="1:10" x14ac:dyDescent="0.3">
      <c r="A13" t="s">
        <v>85</v>
      </c>
      <c r="B13">
        <f>IF(OR(Estimator!$C$15="Institutional", Estimator!$C$15="Mixed",), Estimator!C28, 0)</f>
        <v>0</v>
      </c>
      <c r="C13" s="27">
        <f>IFERROR(B13/B12, 0)</f>
        <v>0</v>
      </c>
      <c r="D13" s="1">
        <f>IFERROR(_xlfn.XLOOKUP(Math!$A$11, List!$A$3:$A$6, List!C$3:C$6, 0)*$C$13, 0)</f>
        <v>0</v>
      </c>
      <c r="E13" s="1">
        <f>IFERROR(_xlfn.XLOOKUP(Math!$A$11, List!$A$3:$A$6, List!D$3:D$6, 0)*$C$13, 0)</f>
        <v>0</v>
      </c>
      <c r="F13" s="1">
        <f>IFERROR(_xlfn.XLOOKUP(Math!$A$11, List!$A$3:$A$6, List!E$3:E$6, 0)*$C$13, 0)</f>
        <v>0</v>
      </c>
      <c r="G13" s="1">
        <f>IFERROR(IF(Estimator!C20="Yes", (_xlfn.XLOOKUP(Math!$A$11, List!$A$3:$A$6, List!F$3:F$6, 0)*$C$13), 0), 0)</f>
        <v>0</v>
      </c>
      <c r="J13" s="1">
        <f t="shared" si="0"/>
        <v>0</v>
      </c>
    </row>
    <row r="14" spans="1:10" x14ac:dyDescent="0.3">
      <c r="A14" t="s">
        <v>86</v>
      </c>
      <c r="B14">
        <f>IF(OR(Estimator!$C$15="Institutional", Estimator!$C$15="Mixed",), Estimator!C29, 0)</f>
        <v>0</v>
      </c>
      <c r="J14" s="1">
        <f t="shared" si="0"/>
        <v>0</v>
      </c>
    </row>
    <row r="15" spans="1:10" x14ac:dyDescent="0.3">
      <c r="A15" s="62" t="s">
        <v>84</v>
      </c>
      <c r="B15" s="62">
        <f>SUM(B13, -B14)</f>
        <v>0</v>
      </c>
      <c r="C15" s="63">
        <f>B15/1000</f>
        <v>0</v>
      </c>
      <c r="D15" s="64">
        <f>IFERROR(_xlfn.XLOOKUP(Math!$A$11, List!$A$3:$A$6, List!C$3:C$6, 0)*$C15, 0)</f>
        <v>0</v>
      </c>
      <c r="E15" s="64">
        <f>IFERROR(_xlfn.XLOOKUP(Math!$A$11, List!$A$3:$A$6, List!D$3:D$6, 0)*$C15, 0)</f>
        <v>0</v>
      </c>
      <c r="F15" s="64">
        <f>IFERROR(_xlfn.XLOOKUP(Math!$A$11, List!$A$3:$A$6, List!E$3:E$6, 0)*$C15, 0)</f>
        <v>0</v>
      </c>
      <c r="G15" s="64">
        <f>IFERROR(_xlfn.XLOOKUP(Math!$A$11, List!$A$3:$A$6, List!F$3:F$6, 0)*$C15, 0)</f>
        <v>0</v>
      </c>
      <c r="H15" s="64"/>
      <c r="I15" s="64"/>
      <c r="J15" s="64">
        <f>SUM(D15:I15)</f>
        <v>0</v>
      </c>
    </row>
    <row r="16" spans="1:10" x14ac:dyDescent="0.3">
      <c r="A16" s="26" t="s">
        <v>87</v>
      </c>
      <c r="J16" s="1">
        <f t="shared" si="0"/>
        <v>0</v>
      </c>
    </row>
    <row r="17" spans="1:10" x14ac:dyDescent="0.3">
      <c r="A17" s="59" t="s">
        <v>81</v>
      </c>
      <c r="B17" s="59">
        <f>SUM(B18,B19)</f>
        <v>0</v>
      </c>
      <c r="C17" s="60">
        <f>IFERROR(B18/$B$27, 0)</f>
        <v>0</v>
      </c>
      <c r="D17" s="61">
        <f>D18*$C$17</f>
        <v>0</v>
      </c>
      <c r="E17" s="61">
        <f t="shared" ref="E17:F17" si="4">E18*$C$17</f>
        <v>0</v>
      </c>
      <c r="F17" s="61">
        <f t="shared" si="4"/>
        <v>0</v>
      </c>
      <c r="G17" s="61">
        <f>G18*$C$17</f>
        <v>0</v>
      </c>
      <c r="H17" s="61"/>
      <c r="I17" s="61"/>
      <c r="J17" s="61">
        <f t="shared" si="0"/>
        <v>0</v>
      </c>
    </row>
    <row r="18" spans="1:10" x14ac:dyDescent="0.3">
      <c r="A18" t="s">
        <v>85</v>
      </c>
      <c r="B18">
        <f>IF(OR(Estimator!$C$15="Retail/Commercial", Estimator!$C$15="Mixed",), Estimator!C30, 0)</f>
        <v>0</v>
      </c>
      <c r="C18" s="27">
        <f>IFERROR(B18/B17, 0)</f>
        <v>0</v>
      </c>
      <c r="D18" s="1">
        <f>IFERROR(_xlfn.XLOOKUP(Math!$A$16, List!$A$3:$A$6, List!C$3:C$6, 0)*$C$18, 0)</f>
        <v>0</v>
      </c>
      <c r="E18" s="1">
        <f>IFERROR(_xlfn.XLOOKUP(Math!$A$16, List!$A$3:$A$6, List!D$3:D$6, 0)*$C$18, 0)</f>
        <v>0</v>
      </c>
      <c r="F18" s="1">
        <f>IFERROR(_xlfn.XLOOKUP(Math!$A$16, List!$A$3:$A$6, List!E$3:E$6, 0)*$C$18, 0)</f>
        <v>0</v>
      </c>
      <c r="G18" s="1">
        <f>IFERROR(IF(Estimator!C20="Yes", (_xlfn.XLOOKUP(Math!$A$16, List!$A$3:$A$6, List!F$3:F$6, 0)*$C$18), 0), 0)</f>
        <v>0</v>
      </c>
      <c r="J18" s="1">
        <f t="shared" si="0"/>
        <v>0</v>
      </c>
    </row>
    <row r="19" spans="1:10" x14ac:dyDescent="0.3">
      <c r="A19" t="s">
        <v>86</v>
      </c>
      <c r="B19">
        <f>IF(OR(Estimator!$C$15="Retail/Commercial", Estimator!$C$15="Mixed",), Estimator!C31, 0)</f>
        <v>0</v>
      </c>
      <c r="J19" s="1">
        <f t="shared" si="0"/>
        <v>0</v>
      </c>
    </row>
    <row r="20" spans="1:10" x14ac:dyDescent="0.3">
      <c r="A20" s="62" t="s">
        <v>84</v>
      </c>
      <c r="B20" s="62">
        <f>SUM(B18, -B19)</f>
        <v>0</v>
      </c>
      <c r="C20" s="63">
        <f>B20/1000</f>
        <v>0</v>
      </c>
      <c r="D20" s="64">
        <f>IFERROR(_xlfn.XLOOKUP(Math!$A$16, List!$A$3:$A$6, List!C$3:C$6, 0)*$C20, 0)</f>
        <v>0</v>
      </c>
      <c r="E20" s="64">
        <f>IFERROR(_xlfn.XLOOKUP(Math!$A$16, List!$A$3:$A$6, List!D$3:D$6, 0)*$C20, 0)</f>
        <v>0</v>
      </c>
      <c r="F20" s="64">
        <f>IFERROR(_xlfn.XLOOKUP(Math!$A$16, List!$A$3:$A$6, List!E$3:E$6, 0)*$C20, 0)</f>
        <v>0</v>
      </c>
      <c r="G20" s="64">
        <f>IFERROR(_xlfn.XLOOKUP(Math!$A$16, List!$A$3:$A$6, List!F$3:F$6, 0)*$C20, 0)</f>
        <v>0</v>
      </c>
      <c r="H20" s="64"/>
      <c r="I20" s="64"/>
      <c r="J20" s="64">
        <f t="shared" si="0"/>
        <v>0</v>
      </c>
    </row>
    <row r="21" spans="1:10" x14ac:dyDescent="0.3">
      <c r="A21" s="26" t="s">
        <v>10</v>
      </c>
      <c r="J21" s="1">
        <f t="shared" si="0"/>
        <v>0</v>
      </c>
    </row>
    <row r="22" spans="1:10" x14ac:dyDescent="0.3">
      <c r="A22" s="59" t="s">
        <v>81</v>
      </c>
      <c r="B22" s="59">
        <f>SUM(B23,B24)</f>
        <v>0</v>
      </c>
      <c r="C22" s="60">
        <f>IFERROR(B23/$B$27, 0)</f>
        <v>0</v>
      </c>
      <c r="D22" s="61">
        <f>D23*$C$22</f>
        <v>0</v>
      </c>
      <c r="E22" s="61">
        <f t="shared" ref="E22:G22" si="5">E23*$C$22</f>
        <v>0</v>
      </c>
      <c r="F22" s="61">
        <f t="shared" si="5"/>
        <v>0</v>
      </c>
      <c r="G22" s="61">
        <f t="shared" si="5"/>
        <v>0</v>
      </c>
      <c r="H22" s="61"/>
      <c r="I22" s="61"/>
      <c r="J22" s="61">
        <f t="shared" si="0"/>
        <v>0</v>
      </c>
    </row>
    <row r="23" spans="1:10" x14ac:dyDescent="0.3">
      <c r="A23" t="s">
        <v>85</v>
      </c>
      <c r="B23">
        <f>IF(OR(Estimator!$C$15="Office", Estimator!$C$15="Mixed",), Estimator!C32, 0)</f>
        <v>0</v>
      </c>
      <c r="C23" s="27">
        <f>IFERROR(B23/B22, 0)</f>
        <v>0</v>
      </c>
      <c r="D23" s="1">
        <f>IFERROR(_xlfn.XLOOKUP(Math!$A$21, List!$A$3:$A$6, List!C$3:C$6, 0)*$C$23, 0)</f>
        <v>0</v>
      </c>
      <c r="E23" s="1">
        <f>IFERROR(_xlfn.XLOOKUP(Math!$A$21, List!$A$3:$A$6, List!D$3:D$6, 0)*$C$23, 0)</f>
        <v>0</v>
      </c>
      <c r="F23" s="1">
        <f>IFERROR(_xlfn.XLOOKUP(Math!$A$21, List!$A$3:$A$6, List!E$3:E$6, 0)*$C$23, 0)</f>
        <v>0</v>
      </c>
      <c r="G23" s="1">
        <f>IFERROR(IF(Estimator!C20="Yes", (_xlfn.XLOOKUP(Math!$A$21, List!$A$3:$A$6, List!F$3:F$6, 0)*$C$23), 0), 0)</f>
        <v>0</v>
      </c>
      <c r="J23" s="1">
        <f t="shared" si="0"/>
        <v>0</v>
      </c>
    </row>
    <row r="24" spans="1:10" x14ac:dyDescent="0.3">
      <c r="A24" t="s">
        <v>86</v>
      </c>
      <c r="B24">
        <f>IF(OR(Estimator!$C$15="Office", Estimator!$C$15="Mixed",), Estimator!C33, 0)</f>
        <v>0</v>
      </c>
      <c r="J24" s="1">
        <f t="shared" si="0"/>
        <v>0</v>
      </c>
    </row>
    <row r="25" spans="1:10" x14ac:dyDescent="0.3">
      <c r="A25" s="62" t="s">
        <v>84</v>
      </c>
      <c r="B25" s="62">
        <f>SUM(B23, -B24)</f>
        <v>0</v>
      </c>
      <c r="C25" s="63">
        <f>B25/1000</f>
        <v>0</v>
      </c>
      <c r="D25" s="64">
        <f>IFERROR(_xlfn.XLOOKUP(Math!$A$21, List!$A$3:$A$6, List!C$3:C$6, 0)*$C25, 0)</f>
        <v>0</v>
      </c>
      <c r="E25" s="64">
        <f>IFERROR(_xlfn.XLOOKUP(Math!$A$21, List!$A$3:$A$6, List!D$3:D$6, 0)*$C25, 0)</f>
        <v>0</v>
      </c>
      <c r="F25" s="64">
        <f>IFERROR(_xlfn.XLOOKUP(Math!$A$21, List!$A$3:$A$6, List!E$3:E$6, 0)*$C25, 0)</f>
        <v>0</v>
      </c>
      <c r="G25" s="64">
        <f>IFERROR(_xlfn.XLOOKUP(Math!$A$21, List!$A$3:$A$6, List!F$3:F$6, 0)*$C25, 0)</f>
        <v>0</v>
      </c>
      <c r="H25" s="64"/>
      <c r="I25" s="64"/>
      <c r="J25" s="64">
        <f t="shared" si="0"/>
        <v>0</v>
      </c>
    </row>
    <row r="26" spans="1:10" x14ac:dyDescent="0.3">
      <c r="A26" s="26" t="s">
        <v>88</v>
      </c>
      <c r="J26" s="1">
        <f t="shared" si="0"/>
        <v>0</v>
      </c>
    </row>
    <row r="27" spans="1:10" x14ac:dyDescent="0.3">
      <c r="A27" s="59" t="s">
        <v>81</v>
      </c>
      <c r="B27" s="59">
        <f>SUM(B8,B13,B18,B23)</f>
        <v>0</v>
      </c>
      <c r="C27" s="60">
        <f t="shared" ref="C27:J27" si="6">SUM(C7,C12,C17,C22)</f>
        <v>0</v>
      </c>
      <c r="D27" s="61">
        <f t="shared" si="6"/>
        <v>0</v>
      </c>
      <c r="E27" s="61">
        <f t="shared" si="6"/>
        <v>0</v>
      </c>
      <c r="F27" s="61">
        <f t="shared" si="6"/>
        <v>0</v>
      </c>
      <c r="G27" s="61">
        <f t="shared" si="6"/>
        <v>0</v>
      </c>
      <c r="H27" s="61"/>
      <c r="I27" s="61"/>
      <c r="J27" s="61">
        <f t="shared" si="6"/>
        <v>0</v>
      </c>
    </row>
    <row r="28" spans="1:10" x14ac:dyDescent="0.3">
      <c r="A28" s="62" t="s">
        <v>89</v>
      </c>
      <c r="B28" s="62">
        <f>SUM(B10,B15,B20,B25)</f>
        <v>0</v>
      </c>
      <c r="C28" s="63"/>
      <c r="D28" s="64">
        <f>SUM(D10,D15,D20,D25)</f>
        <v>0</v>
      </c>
      <c r="E28" s="64">
        <f t="shared" ref="E28:G28" si="7">SUM(E10,E15,E20,E25)</f>
        <v>0</v>
      </c>
      <c r="F28" s="64">
        <f t="shared" si="7"/>
        <v>0</v>
      </c>
      <c r="G28" s="64">
        <f t="shared" si="7"/>
        <v>0</v>
      </c>
      <c r="H28" s="64"/>
      <c r="I28" s="64"/>
      <c r="J28" s="64">
        <f>SUM(J10,J15,J20,J25)</f>
        <v>0</v>
      </c>
    </row>
    <row r="29" spans="1:10" x14ac:dyDescent="0.3">
      <c r="A29" s="26" t="s">
        <v>16</v>
      </c>
      <c r="J29" s="1">
        <f>SUM(J8,J13,J18,J23)</f>
        <v>0</v>
      </c>
    </row>
    <row r="30" spans="1:10" x14ac:dyDescent="0.3">
      <c r="A30" s="66" t="s">
        <v>81</v>
      </c>
      <c r="B30" s="66">
        <f>SUM(B2,B7,B12,B17,B22)</f>
        <v>0</v>
      </c>
      <c r="C30" s="67"/>
      <c r="D30" s="68">
        <f>SUM(D5,D27)</f>
        <v>0</v>
      </c>
      <c r="E30" s="68">
        <f t="shared" ref="E30:J30" si="8">SUM(E5,E27)</f>
        <v>0</v>
      </c>
      <c r="F30" s="68">
        <f t="shared" si="8"/>
        <v>0</v>
      </c>
      <c r="G30" s="68">
        <f t="shared" si="8"/>
        <v>0</v>
      </c>
      <c r="H30" s="68">
        <f t="shared" si="8"/>
        <v>0</v>
      </c>
      <c r="I30" s="68">
        <f t="shared" si="8"/>
        <v>0</v>
      </c>
      <c r="J30" s="68">
        <f t="shared" si="8"/>
        <v>0</v>
      </c>
    </row>
    <row r="31" spans="1:10" x14ac:dyDescent="0.3">
      <c r="A31" s="65" t="s">
        <v>90</v>
      </c>
      <c r="B31" s="65">
        <f>SUM(B5,B10,B15,B20,B25)</f>
        <v>0</v>
      </c>
      <c r="C31" s="69"/>
      <c r="D31" s="70">
        <f>SUM(D5,D28)</f>
        <v>0</v>
      </c>
      <c r="E31" s="70">
        <f t="shared" ref="E31:J31" si="9">SUM(E5,E28)</f>
        <v>0</v>
      </c>
      <c r="F31" s="70">
        <f t="shared" si="9"/>
        <v>0</v>
      </c>
      <c r="G31" s="70">
        <f t="shared" si="9"/>
        <v>0</v>
      </c>
      <c r="H31" s="70">
        <f t="shared" si="9"/>
        <v>0</v>
      </c>
      <c r="I31" s="70">
        <f t="shared" si="9"/>
        <v>0</v>
      </c>
      <c r="J31" s="70">
        <f t="shared" si="9"/>
        <v>0</v>
      </c>
    </row>
  </sheetData>
  <sheetProtection algorithmName="SHA-512" hashValue="IHM3PJopZFiDXISLMkd5litB7NxVe3sjxKFE637+SAzlP07BwpwegfWVOyigGdnFkBtKFTSn85v1Q95lC29lSg==" saltValue="c2UIxUYygY3Q9rtmujppMA==" spinCount="100000"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6C291-ECB9-44F3-92F4-17B477F06FAC}">
  <dimension ref="A1:J33"/>
  <sheetViews>
    <sheetView showGridLines="0" view="pageLayout" topLeftCell="A9" zoomScaleNormal="100" workbookViewId="0">
      <selection activeCell="A29" sqref="A29"/>
    </sheetView>
  </sheetViews>
  <sheetFormatPr defaultRowHeight="14.4" x14ac:dyDescent="0.3"/>
  <cols>
    <col min="1" max="1" width="19" customWidth="1"/>
    <col min="2" max="3" width="11.109375" customWidth="1"/>
    <col min="4" max="4" width="14.44140625" customWidth="1"/>
    <col min="5" max="5" width="13.6640625" customWidth="1"/>
    <col min="6" max="6" width="10.5546875" customWidth="1"/>
    <col min="7" max="7" width="11.44140625" customWidth="1"/>
    <col min="9" max="9" width="12.44140625" customWidth="1"/>
  </cols>
  <sheetData>
    <row r="1" spans="1:10" ht="20.25" customHeight="1" x14ac:dyDescent="0.3">
      <c r="B1" s="1"/>
      <c r="C1" s="1"/>
      <c r="G1" s="119" t="s">
        <v>0</v>
      </c>
      <c r="H1" s="119"/>
      <c r="I1" s="119"/>
      <c r="J1" s="119"/>
    </row>
    <row r="2" spans="1:10" ht="21" x14ac:dyDescent="0.3">
      <c r="B2" s="1"/>
      <c r="C2" s="1"/>
      <c r="F2" s="2"/>
      <c r="G2" s="119"/>
      <c r="H2" s="119"/>
      <c r="I2" s="119"/>
      <c r="J2" s="119"/>
    </row>
    <row r="3" spans="1:10" ht="21" x14ac:dyDescent="0.3">
      <c r="B3" s="1"/>
      <c r="C3" s="1"/>
      <c r="F3" s="2"/>
      <c r="G3" s="119"/>
      <c r="H3" s="119"/>
      <c r="I3" s="119"/>
      <c r="J3" s="119"/>
    </row>
    <row r="4" spans="1:10" ht="21" x14ac:dyDescent="0.3">
      <c r="B4" s="1"/>
      <c r="C4" s="1"/>
      <c r="F4" s="2"/>
      <c r="G4" s="119"/>
      <c r="H4" s="119"/>
      <c r="I4" s="119"/>
      <c r="J4" s="119"/>
    </row>
    <row r="5" spans="1:10" ht="15" customHeight="1" x14ac:dyDescent="0.3">
      <c r="B5" s="1"/>
      <c r="C5" s="1"/>
      <c r="G5" s="119"/>
      <c r="H5" s="119"/>
      <c r="I5" s="119"/>
      <c r="J5" s="119"/>
    </row>
    <row r="6" spans="1:10" ht="18.75" customHeight="1" x14ac:dyDescent="0.35">
      <c r="A6" s="3" t="s">
        <v>14</v>
      </c>
      <c r="B6" s="1"/>
      <c r="C6" s="1"/>
      <c r="G6" s="119"/>
      <c r="H6" s="119"/>
      <c r="I6" s="119"/>
      <c r="J6" s="119"/>
    </row>
    <row r="7" spans="1:10" ht="18.600000000000001" thickBot="1" x14ac:dyDescent="0.4">
      <c r="A7" s="3"/>
      <c r="B7" s="1"/>
      <c r="C7" s="1"/>
    </row>
    <row r="8" spans="1:10" ht="30.75" customHeight="1" thickBot="1" x14ac:dyDescent="0.35">
      <c r="A8" s="120" t="s">
        <v>91</v>
      </c>
      <c r="B8" s="121"/>
      <c r="C8" s="121"/>
      <c r="D8" s="121"/>
      <c r="E8" s="122"/>
      <c r="F8" s="77"/>
      <c r="G8" s="77"/>
    </row>
    <row r="9" spans="1:10" ht="72" x14ac:dyDescent="0.3">
      <c r="A9" s="6" t="s">
        <v>15</v>
      </c>
      <c r="B9" s="17" t="s">
        <v>16</v>
      </c>
      <c r="C9" s="8" t="s">
        <v>92</v>
      </c>
      <c r="D9" s="8" t="s">
        <v>133</v>
      </c>
      <c r="E9" s="80" t="s">
        <v>93</v>
      </c>
      <c r="F9" s="4"/>
      <c r="G9" s="4"/>
      <c r="H9" s="4"/>
      <c r="I9" s="4"/>
    </row>
    <row r="10" spans="1:10" x14ac:dyDescent="0.3">
      <c r="A10" s="10" t="s">
        <v>18</v>
      </c>
      <c r="B10" s="16">
        <f>SUM(C10:E10)</f>
        <v>1566</v>
      </c>
      <c r="C10" s="5">
        <v>216</v>
      </c>
      <c r="D10" s="5">
        <v>114</v>
      </c>
      <c r="E10" s="81">
        <v>1236</v>
      </c>
    </row>
    <row r="11" spans="1:10" x14ac:dyDescent="0.3">
      <c r="A11" s="10" t="s">
        <v>19</v>
      </c>
      <c r="B11" s="16">
        <f t="shared" ref="B11:B13" si="0">SUM(C11:E11)</f>
        <v>2402</v>
      </c>
      <c r="C11" s="5">
        <v>466</v>
      </c>
      <c r="D11" s="5">
        <v>247</v>
      </c>
      <c r="E11" s="81">
        <v>1689</v>
      </c>
    </row>
    <row r="12" spans="1:10" x14ac:dyDescent="0.3">
      <c r="A12" s="10" t="s">
        <v>20</v>
      </c>
      <c r="B12" s="16">
        <f t="shared" si="0"/>
        <v>5901</v>
      </c>
      <c r="C12" s="5">
        <v>1248</v>
      </c>
      <c r="D12" s="5">
        <v>660</v>
      </c>
      <c r="E12" s="81">
        <v>3993</v>
      </c>
    </row>
    <row r="13" spans="1:10" ht="15" thickBot="1" x14ac:dyDescent="0.35">
      <c r="A13" s="12" t="s">
        <v>21</v>
      </c>
      <c r="B13" s="18">
        <f t="shared" si="0"/>
        <v>2989</v>
      </c>
      <c r="C13" s="13">
        <v>424</v>
      </c>
      <c r="D13" s="13">
        <v>224</v>
      </c>
      <c r="E13" s="82">
        <v>2341</v>
      </c>
    </row>
    <row r="14" spans="1:10" x14ac:dyDescent="0.3">
      <c r="B14" s="1"/>
      <c r="C14" s="1"/>
    </row>
    <row r="15" spans="1:10" ht="18" x14ac:dyDescent="0.35">
      <c r="A15" s="3" t="s">
        <v>23</v>
      </c>
    </row>
    <row r="16" spans="1:10" ht="15" thickBot="1" x14ac:dyDescent="0.35"/>
    <row r="17" spans="1:9" ht="35.25" customHeight="1" thickBot="1" x14ac:dyDescent="0.35">
      <c r="A17" s="120" t="s">
        <v>94</v>
      </c>
      <c r="B17" s="121"/>
      <c r="C17" s="121"/>
      <c r="D17" s="121"/>
      <c r="E17" s="121"/>
      <c r="F17" s="122"/>
      <c r="G17" s="78"/>
      <c r="H17" s="78"/>
      <c r="I17" s="78"/>
    </row>
    <row r="18" spans="1:9" s="20" customFormat="1" ht="57.6" x14ac:dyDescent="0.3">
      <c r="A18" s="19" t="s">
        <v>25</v>
      </c>
      <c r="B18" s="15" t="s">
        <v>16</v>
      </c>
      <c r="C18" s="8" t="s">
        <v>95</v>
      </c>
      <c r="D18" s="8" t="s">
        <v>133</v>
      </c>
      <c r="E18" s="8" t="s">
        <v>96</v>
      </c>
      <c r="F18" s="80" t="s">
        <v>97</v>
      </c>
    </row>
    <row r="19" spans="1:9" x14ac:dyDescent="0.3">
      <c r="A19" s="10" t="s">
        <v>29</v>
      </c>
      <c r="B19" s="16">
        <f t="shared" ref="B19:B33" si="1">SUM(C19:F19)</f>
        <v>1736</v>
      </c>
      <c r="C19" s="5">
        <v>171</v>
      </c>
      <c r="D19" s="5">
        <v>77</v>
      </c>
      <c r="E19" s="5">
        <v>100</v>
      </c>
      <c r="F19" s="81">
        <v>1388</v>
      </c>
    </row>
    <row r="20" spans="1:9" x14ac:dyDescent="0.3">
      <c r="A20" s="10" t="s">
        <v>30</v>
      </c>
      <c r="B20" s="16">
        <f t="shared" si="1"/>
        <v>2026</v>
      </c>
      <c r="C20" s="5">
        <v>236</v>
      </c>
      <c r="D20" s="5">
        <v>106</v>
      </c>
      <c r="E20" s="5">
        <v>138</v>
      </c>
      <c r="F20" s="81">
        <v>1546</v>
      </c>
    </row>
    <row r="21" spans="1:9" x14ac:dyDescent="0.3">
      <c r="A21" s="10" t="s">
        <v>31</v>
      </c>
      <c r="B21" s="16">
        <f t="shared" si="1"/>
        <v>2298</v>
      </c>
      <c r="C21" s="5">
        <v>286</v>
      </c>
      <c r="D21" s="5">
        <v>128</v>
      </c>
      <c r="E21" s="5">
        <v>167</v>
      </c>
      <c r="F21" s="81">
        <v>1717</v>
      </c>
    </row>
    <row r="22" spans="1:9" x14ac:dyDescent="0.3">
      <c r="A22" s="10" t="s">
        <v>32</v>
      </c>
      <c r="B22" s="16">
        <f t="shared" si="1"/>
        <v>2511</v>
      </c>
      <c r="C22" s="5">
        <v>330</v>
      </c>
      <c r="D22" s="5">
        <v>147</v>
      </c>
      <c r="E22" s="5">
        <v>193</v>
      </c>
      <c r="F22" s="81">
        <v>1841</v>
      </c>
    </row>
    <row r="23" spans="1:9" x14ac:dyDescent="0.3">
      <c r="A23" s="10" t="s">
        <v>33</v>
      </c>
      <c r="B23" s="16">
        <f t="shared" si="1"/>
        <v>2809</v>
      </c>
      <c r="C23" s="5">
        <v>363</v>
      </c>
      <c r="D23" s="5">
        <v>163</v>
      </c>
      <c r="E23" s="5">
        <v>212</v>
      </c>
      <c r="F23" s="81">
        <v>2071</v>
      </c>
    </row>
    <row r="24" spans="1:9" x14ac:dyDescent="0.3">
      <c r="A24" s="10" t="s">
        <v>34</v>
      </c>
      <c r="B24" s="16">
        <f t="shared" si="1"/>
        <v>2963</v>
      </c>
      <c r="C24" s="5">
        <v>394</v>
      </c>
      <c r="D24" s="5">
        <v>177</v>
      </c>
      <c r="E24" s="5">
        <v>230</v>
      </c>
      <c r="F24" s="81">
        <v>2162</v>
      </c>
    </row>
    <row r="25" spans="1:9" x14ac:dyDescent="0.3">
      <c r="A25" s="10" t="s">
        <v>35</v>
      </c>
      <c r="B25" s="16">
        <f t="shared" si="1"/>
        <v>3193</v>
      </c>
      <c r="C25" s="5">
        <v>422</v>
      </c>
      <c r="D25" s="5">
        <v>189</v>
      </c>
      <c r="E25" s="5">
        <v>247</v>
      </c>
      <c r="F25" s="81">
        <v>2335</v>
      </c>
    </row>
    <row r="26" spans="1:9" x14ac:dyDescent="0.3">
      <c r="A26" s="10" t="s">
        <v>36</v>
      </c>
      <c r="B26" s="16">
        <f t="shared" si="1"/>
        <v>3311</v>
      </c>
      <c r="C26" s="5">
        <v>445</v>
      </c>
      <c r="D26" s="5">
        <v>199</v>
      </c>
      <c r="E26" s="5">
        <v>260</v>
      </c>
      <c r="F26" s="81">
        <v>2407</v>
      </c>
    </row>
    <row r="27" spans="1:9" x14ac:dyDescent="0.3">
      <c r="A27" s="10" t="s">
        <v>37</v>
      </c>
      <c r="B27" s="16">
        <f t="shared" si="1"/>
        <v>3503</v>
      </c>
      <c r="C27" s="5">
        <v>468</v>
      </c>
      <c r="D27" s="5">
        <v>210</v>
      </c>
      <c r="E27" s="5">
        <v>274</v>
      </c>
      <c r="F27" s="81">
        <v>2551</v>
      </c>
    </row>
    <row r="28" spans="1:9" x14ac:dyDescent="0.3">
      <c r="A28" s="10" t="s">
        <v>38</v>
      </c>
      <c r="B28" s="16">
        <f t="shared" si="1"/>
        <v>3599</v>
      </c>
      <c r="C28" s="5">
        <v>487</v>
      </c>
      <c r="D28" s="5">
        <v>218</v>
      </c>
      <c r="E28" s="5">
        <v>284</v>
      </c>
      <c r="F28" s="81">
        <v>2610</v>
      </c>
    </row>
    <row r="29" spans="1:9" x14ac:dyDescent="0.3">
      <c r="A29" s="10" t="s">
        <v>39</v>
      </c>
      <c r="B29" s="16">
        <f t="shared" si="1"/>
        <v>3692</v>
      </c>
      <c r="C29" s="5">
        <v>505</v>
      </c>
      <c r="D29" s="5">
        <v>226</v>
      </c>
      <c r="E29" s="5">
        <v>295</v>
      </c>
      <c r="F29" s="81">
        <v>2666</v>
      </c>
    </row>
    <row r="30" spans="1:9" x14ac:dyDescent="0.3">
      <c r="A30" s="10" t="s">
        <v>40</v>
      </c>
      <c r="B30" s="16">
        <f t="shared" si="1"/>
        <v>3807</v>
      </c>
      <c r="C30" s="5">
        <v>522</v>
      </c>
      <c r="D30" s="5">
        <v>234</v>
      </c>
      <c r="E30" s="5">
        <v>305</v>
      </c>
      <c r="F30" s="81">
        <v>2746</v>
      </c>
    </row>
    <row r="31" spans="1:9" x14ac:dyDescent="0.3">
      <c r="A31" s="10" t="s">
        <v>41</v>
      </c>
      <c r="B31" s="16">
        <f t="shared" si="1"/>
        <v>3924</v>
      </c>
      <c r="C31" s="5">
        <v>539</v>
      </c>
      <c r="D31" s="5">
        <v>242</v>
      </c>
      <c r="E31" s="5">
        <v>315</v>
      </c>
      <c r="F31" s="81">
        <v>2828</v>
      </c>
    </row>
    <row r="32" spans="1:9" x14ac:dyDescent="0.3">
      <c r="A32" s="10" t="s">
        <v>42</v>
      </c>
      <c r="B32" s="16">
        <f t="shared" si="1"/>
        <v>4026</v>
      </c>
      <c r="C32" s="5">
        <v>553</v>
      </c>
      <c r="D32" s="5">
        <v>248</v>
      </c>
      <c r="E32" s="5">
        <v>323</v>
      </c>
      <c r="F32" s="81">
        <v>2902</v>
      </c>
    </row>
    <row r="33" spans="1:6" ht="15" thickBot="1" x14ac:dyDescent="0.35">
      <c r="A33" s="12" t="s">
        <v>43</v>
      </c>
      <c r="B33" s="18">
        <f t="shared" si="1"/>
        <v>4091</v>
      </c>
      <c r="C33" s="13">
        <v>567</v>
      </c>
      <c r="D33" s="13">
        <v>254</v>
      </c>
      <c r="E33" s="13">
        <v>331</v>
      </c>
      <c r="F33" s="82">
        <v>2939</v>
      </c>
    </row>
  </sheetData>
  <sheetProtection algorithmName="SHA-512" hashValue="mjV3Wj1iAMu1da5YiQHXh2q5OMSLmDWi0pTrBe4JTWg//Nq2dbnOfE8zHmF7FuW6b4MdKExP6Kj0ouBri6g2FA==" saltValue="4IBax6pMEZrsBeZhmihlWA==" spinCount="100000" sheet="1" objects="1" scenarios="1"/>
  <mergeCells count="3">
    <mergeCell ref="G1:J6"/>
    <mergeCell ref="A8:E8"/>
    <mergeCell ref="A17:F17"/>
  </mergeCells>
  <pageMargins left="0.7" right="0.7" top="0.75" bottom="0.75" header="0.3" footer="0.3"/>
  <pageSetup orientation="landscape" r:id="rId1"/>
  <headerFooter>
    <oddFooter>&amp;RIMPACT FEE SCHEDULE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7B64E-D5BA-40B3-A871-512BCB1C000B}">
  <dimension ref="A1:G94"/>
  <sheetViews>
    <sheetView topLeftCell="A69" workbookViewId="0">
      <selection activeCell="A63" sqref="A63"/>
    </sheetView>
  </sheetViews>
  <sheetFormatPr defaultRowHeight="14.4" x14ac:dyDescent="0.3"/>
  <cols>
    <col min="1" max="1" width="27.44140625" customWidth="1"/>
    <col min="2" max="2" width="23.44140625" customWidth="1"/>
    <col min="3" max="3" width="16.5546875" customWidth="1"/>
    <col min="4" max="4" width="17.109375" customWidth="1"/>
    <col min="5" max="5" width="14.88671875" customWidth="1"/>
    <col min="6" max="6" width="17.33203125" customWidth="1"/>
  </cols>
  <sheetData>
    <row r="1" spans="1:6" ht="15" thickBot="1" x14ac:dyDescent="0.35"/>
    <row r="2" spans="1:6" s="20" customFormat="1" ht="29.4" thickBot="1" x14ac:dyDescent="0.35">
      <c r="A2" s="90" t="s">
        <v>98</v>
      </c>
      <c r="B2" s="91"/>
      <c r="C2" s="104"/>
      <c r="D2" s="92" t="s">
        <v>17</v>
      </c>
      <c r="E2" s="92" t="s">
        <v>99</v>
      </c>
      <c r="F2" s="93" t="s">
        <v>100</v>
      </c>
    </row>
    <row r="3" spans="1:6" x14ac:dyDescent="0.3">
      <c r="A3" s="89" t="s">
        <v>18</v>
      </c>
      <c r="C3" s="105"/>
      <c r="D3" s="1">
        <v>216</v>
      </c>
      <c r="E3" s="1">
        <v>114</v>
      </c>
      <c r="F3" s="85">
        <v>667</v>
      </c>
    </row>
    <row r="4" spans="1:6" x14ac:dyDescent="0.3">
      <c r="A4" s="10" t="s">
        <v>19</v>
      </c>
      <c r="C4" s="105"/>
      <c r="D4" s="1">
        <v>466</v>
      </c>
      <c r="E4" s="1">
        <v>247</v>
      </c>
      <c r="F4" s="85">
        <v>1442</v>
      </c>
    </row>
    <row r="5" spans="1:6" x14ac:dyDescent="0.3">
      <c r="A5" s="10" t="s">
        <v>20</v>
      </c>
      <c r="C5" s="105"/>
      <c r="D5" s="1">
        <v>1248</v>
      </c>
      <c r="E5" s="1">
        <v>660</v>
      </c>
      <c r="F5" s="85">
        <v>3859</v>
      </c>
    </row>
    <row r="6" spans="1:6" ht="15" thickBot="1" x14ac:dyDescent="0.35">
      <c r="A6" s="12" t="s">
        <v>21</v>
      </c>
      <c r="B6" s="86"/>
      <c r="C6" s="106"/>
      <c r="D6" s="87">
        <v>424</v>
      </c>
      <c r="E6" s="87">
        <v>224</v>
      </c>
      <c r="F6" s="88">
        <v>1310</v>
      </c>
    </row>
    <row r="7" spans="1:6" ht="29.4" thickBot="1" x14ac:dyDescent="0.35">
      <c r="A7" s="95" t="s">
        <v>12</v>
      </c>
      <c r="B7" s="92"/>
      <c r="C7" s="104"/>
      <c r="D7" s="92" t="s">
        <v>17</v>
      </c>
      <c r="E7" s="92" t="s">
        <v>99</v>
      </c>
      <c r="F7" s="93" t="s">
        <v>100</v>
      </c>
    </row>
    <row r="8" spans="1:6" x14ac:dyDescent="0.3">
      <c r="A8" s="89" t="s">
        <v>101</v>
      </c>
      <c r="B8" s="24" t="s">
        <v>102</v>
      </c>
      <c r="C8" s="105"/>
      <c r="D8" s="1">
        <v>171</v>
      </c>
      <c r="E8" s="1">
        <v>77</v>
      </c>
      <c r="F8" s="85">
        <v>902</v>
      </c>
    </row>
    <row r="9" spans="1:6" x14ac:dyDescent="0.3">
      <c r="A9" s="10" t="s">
        <v>30</v>
      </c>
      <c r="B9" s="24" t="s">
        <v>103</v>
      </c>
      <c r="C9" s="105"/>
      <c r="D9" s="1">
        <v>236</v>
      </c>
      <c r="E9" s="1">
        <v>106</v>
      </c>
      <c r="F9" s="85">
        <v>1244</v>
      </c>
    </row>
    <row r="10" spans="1:6" x14ac:dyDescent="0.3">
      <c r="A10" s="10" t="s">
        <v>31</v>
      </c>
      <c r="B10" s="24" t="s">
        <v>104</v>
      </c>
      <c r="C10" s="105"/>
      <c r="D10" s="1">
        <v>286</v>
      </c>
      <c r="E10" s="1">
        <v>128</v>
      </c>
      <c r="F10" s="85">
        <v>1512</v>
      </c>
    </row>
    <row r="11" spans="1:6" x14ac:dyDescent="0.3">
      <c r="A11" s="10" t="s">
        <v>32</v>
      </c>
      <c r="B11" s="24" t="s">
        <v>105</v>
      </c>
      <c r="C11" s="105"/>
      <c r="D11" s="1">
        <v>330</v>
      </c>
      <c r="E11" s="1">
        <v>147</v>
      </c>
      <c r="F11" s="85">
        <v>1740</v>
      </c>
    </row>
    <row r="12" spans="1:6" x14ac:dyDescent="0.3">
      <c r="A12" s="10" t="s">
        <v>33</v>
      </c>
      <c r="B12" s="24" t="s">
        <v>106</v>
      </c>
      <c r="C12" s="105"/>
      <c r="D12" s="1">
        <v>363</v>
      </c>
      <c r="E12" s="1">
        <v>163</v>
      </c>
      <c r="F12" s="85">
        <v>1919</v>
      </c>
    </row>
    <row r="13" spans="1:6" x14ac:dyDescent="0.3">
      <c r="A13" s="10" t="s">
        <v>34</v>
      </c>
      <c r="B13" s="24" t="s">
        <v>107</v>
      </c>
      <c r="C13" s="105"/>
      <c r="D13" s="1">
        <v>394</v>
      </c>
      <c r="E13" s="1">
        <v>177</v>
      </c>
      <c r="F13" s="85">
        <v>2081</v>
      </c>
    </row>
    <row r="14" spans="1:6" x14ac:dyDescent="0.3">
      <c r="A14" s="10" t="s">
        <v>35</v>
      </c>
      <c r="B14" s="24" t="s">
        <v>108</v>
      </c>
      <c r="C14" s="105"/>
      <c r="D14" s="1">
        <v>422</v>
      </c>
      <c r="E14" s="1">
        <v>189</v>
      </c>
      <c r="F14" s="85">
        <v>2228</v>
      </c>
    </row>
    <row r="15" spans="1:6" x14ac:dyDescent="0.3">
      <c r="A15" s="10" t="s">
        <v>36</v>
      </c>
      <c r="B15" s="24" t="s">
        <v>109</v>
      </c>
      <c r="C15" s="105"/>
      <c r="D15" s="1">
        <v>445</v>
      </c>
      <c r="E15" s="1">
        <v>199</v>
      </c>
      <c r="F15" s="85">
        <v>2350</v>
      </c>
    </row>
    <row r="16" spans="1:6" x14ac:dyDescent="0.3">
      <c r="A16" s="10" t="s">
        <v>37</v>
      </c>
      <c r="B16" s="24" t="s">
        <v>110</v>
      </c>
      <c r="C16" s="105"/>
      <c r="D16" s="1">
        <v>468</v>
      </c>
      <c r="E16" s="1">
        <v>210</v>
      </c>
      <c r="F16" s="85">
        <v>2472</v>
      </c>
    </row>
    <row r="17" spans="1:7" x14ac:dyDescent="0.3">
      <c r="A17" s="10" t="s">
        <v>38</v>
      </c>
      <c r="B17" s="24" t="s">
        <v>111</v>
      </c>
      <c r="C17" s="105"/>
      <c r="D17" s="1">
        <v>487</v>
      </c>
      <c r="E17" s="1">
        <v>218</v>
      </c>
      <c r="F17" s="85">
        <v>2569</v>
      </c>
    </row>
    <row r="18" spans="1:7" x14ac:dyDescent="0.3">
      <c r="A18" s="10" t="s">
        <v>39</v>
      </c>
      <c r="B18" s="24" t="s">
        <v>112</v>
      </c>
      <c r="C18" s="105"/>
      <c r="D18" s="1">
        <v>505</v>
      </c>
      <c r="E18" s="1">
        <v>226</v>
      </c>
      <c r="F18" s="85">
        <v>2667</v>
      </c>
    </row>
    <row r="19" spans="1:7" x14ac:dyDescent="0.3">
      <c r="A19" s="10" t="s">
        <v>40</v>
      </c>
      <c r="B19" s="24" t="s">
        <v>113</v>
      </c>
      <c r="C19" s="105"/>
      <c r="D19" s="1">
        <v>522</v>
      </c>
      <c r="E19" s="1">
        <v>234</v>
      </c>
      <c r="F19" s="85">
        <v>2756</v>
      </c>
    </row>
    <row r="20" spans="1:7" x14ac:dyDescent="0.3">
      <c r="A20" s="10" t="s">
        <v>41</v>
      </c>
      <c r="B20" s="24" t="s">
        <v>114</v>
      </c>
      <c r="C20" s="105"/>
      <c r="D20" s="1">
        <v>539</v>
      </c>
      <c r="E20" s="1">
        <v>242</v>
      </c>
      <c r="F20" s="85">
        <v>2846</v>
      </c>
    </row>
    <row r="21" spans="1:7" x14ac:dyDescent="0.3">
      <c r="A21" s="10" t="s">
        <v>42</v>
      </c>
      <c r="B21" s="24" t="s">
        <v>115</v>
      </c>
      <c r="C21" s="105"/>
      <c r="D21" s="1">
        <v>553</v>
      </c>
      <c r="E21" s="1">
        <v>248</v>
      </c>
      <c r="F21" s="85">
        <v>2919</v>
      </c>
    </row>
    <row r="22" spans="1:7" ht="15" thickBot="1" x14ac:dyDescent="0.35">
      <c r="A22" s="96" t="s">
        <v>43</v>
      </c>
      <c r="B22" s="24" t="s">
        <v>116</v>
      </c>
      <c r="C22" s="105"/>
      <c r="D22" s="1">
        <v>567</v>
      </c>
      <c r="E22" s="1">
        <v>254</v>
      </c>
      <c r="F22" s="85">
        <v>2992</v>
      </c>
    </row>
    <row r="23" spans="1:7" s="20" customFormat="1" ht="29.4" thickBot="1" x14ac:dyDescent="0.35">
      <c r="A23" s="95" t="s">
        <v>134</v>
      </c>
      <c r="B23" s="97" t="s">
        <v>117</v>
      </c>
      <c r="C23" s="92" t="s">
        <v>135</v>
      </c>
      <c r="D23" s="92" t="s">
        <v>118</v>
      </c>
      <c r="E23" s="92" t="s">
        <v>69</v>
      </c>
      <c r="F23" s="92" t="s">
        <v>119</v>
      </c>
      <c r="G23" s="93" t="s">
        <v>120</v>
      </c>
    </row>
    <row r="24" spans="1:7" x14ac:dyDescent="0.3">
      <c r="A24" s="98" t="s">
        <v>101</v>
      </c>
      <c r="B24" s="99" t="s">
        <v>102</v>
      </c>
      <c r="C24" s="100">
        <v>337</v>
      </c>
      <c r="D24" s="100">
        <v>100</v>
      </c>
      <c r="E24" s="100">
        <v>422</v>
      </c>
      <c r="F24" s="100">
        <v>433</v>
      </c>
      <c r="G24" s="101">
        <v>280</v>
      </c>
    </row>
    <row r="25" spans="1:7" x14ac:dyDescent="0.3">
      <c r="A25" s="10" t="s">
        <v>30</v>
      </c>
      <c r="B25" s="24" t="s">
        <v>103</v>
      </c>
      <c r="C25" s="1">
        <v>465</v>
      </c>
      <c r="D25" s="1">
        <v>138</v>
      </c>
      <c r="E25" s="1">
        <v>581</v>
      </c>
      <c r="F25" s="1">
        <v>597</v>
      </c>
      <c r="G25" s="102">
        <v>386</v>
      </c>
    </row>
    <row r="26" spans="1:7" x14ac:dyDescent="0.3">
      <c r="A26" s="10" t="s">
        <v>31</v>
      </c>
      <c r="B26" s="24" t="s">
        <v>104</v>
      </c>
      <c r="C26" s="1">
        <v>565</v>
      </c>
      <c r="D26" s="1">
        <v>167</v>
      </c>
      <c r="E26" s="1">
        <v>707</v>
      </c>
      <c r="F26" s="1">
        <v>725</v>
      </c>
      <c r="G26" s="102">
        <v>469</v>
      </c>
    </row>
    <row r="27" spans="1:7" x14ac:dyDescent="0.3">
      <c r="A27" s="10" t="s">
        <v>32</v>
      </c>
      <c r="B27" s="24" t="s">
        <v>105</v>
      </c>
      <c r="C27" s="1">
        <v>651</v>
      </c>
      <c r="D27" s="1">
        <v>193</v>
      </c>
      <c r="E27" s="1">
        <v>813</v>
      </c>
      <c r="F27" s="1">
        <v>835</v>
      </c>
      <c r="G27" s="102">
        <v>539</v>
      </c>
    </row>
    <row r="28" spans="1:7" x14ac:dyDescent="0.3">
      <c r="A28" s="10" t="s">
        <v>33</v>
      </c>
      <c r="B28" s="24" t="s">
        <v>106</v>
      </c>
      <c r="C28" s="1">
        <v>717</v>
      </c>
      <c r="D28" s="1">
        <v>212</v>
      </c>
      <c r="E28" s="1">
        <v>897</v>
      </c>
      <c r="F28" s="1">
        <v>920</v>
      </c>
      <c r="G28" s="102">
        <v>595</v>
      </c>
    </row>
    <row r="29" spans="1:7" x14ac:dyDescent="0.3">
      <c r="A29" s="10" t="s">
        <v>34</v>
      </c>
      <c r="B29" s="24" t="s">
        <v>107</v>
      </c>
      <c r="C29" s="1">
        <v>778</v>
      </c>
      <c r="D29" s="1">
        <v>230</v>
      </c>
      <c r="E29" s="1">
        <v>973</v>
      </c>
      <c r="F29" s="1">
        <v>998</v>
      </c>
      <c r="G29" s="102">
        <v>645</v>
      </c>
    </row>
    <row r="30" spans="1:7" x14ac:dyDescent="0.3">
      <c r="A30" s="10" t="s">
        <v>35</v>
      </c>
      <c r="B30" s="24" t="s">
        <v>108</v>
      </c>
      <c r="C30" s="1">
        <v>833</v>
      </c>
      <c r="D30" s="1">
        <v>247</v>
      </c>
      <c r="E30" s="1">
        <v>1041</v>
      </c>
      <c r="F30" s="1">
        <v>1069</v>
      </c>
      <c r="G30" s="102">
        <v>690</v>
      </c>
    </row>
    <row r="31" spans="1:7" x14ac:dyDescent="0.3">
      <c r="A31" s="10" t="s">
        <v>36</v>
      </c>
      <c r="B31" s="24" t="s">
        <v>109</v>
      </c>
      <c r="C31" s="1">
        <v>879</v>
      </c>
      <c r="D31" s="1">
        <v>260</v>
      </c>
      <c r="E31" s="1">
        <v>1098</v>
      </c>
      <c r="F31" s="1">
        <v>1127</v>
      </c>
      <c r="G31" s="102">
        <v>728</v>
      </c>
    </row>
    <row r="32" spans="1:7" x14ac:dyDescent="0.3">
      <c r="A32" s="10" t="s">
        <v>37</v>
      </c>
      <c r="B32" s="24" t="s">
        <v>110</v>
      </c>
      <c r="C32" s="1">
        <v>924</v>
      </c>
      <c r="D32" s="1">
        <v>274</v>
      </c>
      <c r="E32" s="1">
        <v>1155</v>
      </c>
      <c r="F32" s="1">
        <v>1186</v>
      </c>
      <c r="G32" s="102">
        <v>766</v>
      </c>
    </row>
    <row r="33" spans="1:7" x14ac:dyDescent="0.3">
      <c r="A33" s="10" t="s">
        <v>38</v>
      </c>
      <c r="B33" s="24" t="s">
        <v>111</v>
      </c>
      <c r="C33" s="1">
        <v>961</v>
      </c>
      <c r="D33" s="1">
        <v>284</v>
      </c>
      <c r="E33" s="1">
        <v>1201</v>
      </c>
      <c r="F33" s="1">
        <v>1232</v>
      </c>
      <c r="G33" s="102">
        <v>796</v>
      </c>
    </row>
    <row r="34" spans="1:7" x14ac:dyDescent="0.3">
      <c r="A34" s="10" t="s">
        <v>39</v>
      </c>
      <c r="B34" s="24" t="s">
        <v>112</v>
      </c>
      <c r="C34" s="1">
        <v>997</v>
      </c>
      <c r="D34" s="1">
        <v>295</v>
      </c>
      <c r="E34" s="1">
        <v>1246</v>
      </c>
      <c r="F34" s="1">
        <v>1279</v>
      </c>
      <c r="G34" s="102">
        <v>827</v>
      </c>
    </row>
    <row r="35" spans="1:7" x14ac:dyDescent="0.3">
      <c r="A35" s="10" t="s">
        <v>40</v>
      </c>
      <c r="B35" s="24" t="s">
        <v>113</v>
      </c>
      <c r="C35" s="1">
        <v>1031</v>
      </c>
      <c r="D35" s="1">
        <v>305</v>
      </c>
      <c r="E35" s="1">
        <v>1288</v>
      </c>
      <c r="F35" s="1">
        <v>1322</v>
      </c>
      <c r="G35" s="102">
        <v>854</v>
      </c>
    </row>
    <row r="36" spans="1:7" x14ac:dyDescent="0.3">
      <c r="A36" s="10" t="s">
        <v>41</v>
      </c>
      <c r="B36" s="24" t="s">
        <v>114</v>
      </c>
      <c r="C36" s="1">
        <v>1064</v>
      </c>
      <c r="D36" s="1">
        <v>315</v>
      </c>
      <c r="E36" s="1">
        <v>1330</v>
      </c>
      <c r="F36" s="1">
        <v>1365</v>
      </c>
      <c r="G36" s="102">
        <v>882</v>
      </c>
    </row>
    <row r="37" spans="1:7" x14ac:dyDescent="0.3">
      <c r="A37" s="10" t="s">
        <v>42</v>
      </c>
      <c r="B37" s="24" t="s">
        <v>115</v>
      </c>
      <c r="C37" s="1">
        <v>1091</v>
      </c>
      <c r="D37" s="1">
        <v>323</v>
      </c>
      <c r="E37" s="1">
        <v>1364</v>
      </c>
      <c r="F37" s="1">
        <v>1400</v>
      </c>
      <c r="G37" s="102">
        <v>905</v>
      </c>
    </row>
    <row r="38" spans="1:7" ht="15" thickBot="1" x14ac:dyDescent="0.35">
      <c r="A38" s="12" t="s">
        <v>43</v>
      </c>
      <c r="B38" s="94" t="s">
        <v>116</v>
      </c>
      <c r="C38" s="87">
        <v>1119</v>
      </c>
      <c r="D38" s="87">
        <v>331</v>
      </c>
      <c r="E38" s="87">
        <v>1398</v>
      </c>
      <c r="F38" s="87">
        <v>1435</v>
      </c>
      <c r="G38" s="103">
        <v>927</v>
      </c>
    </row>
    <row r="39" spans="1:7" x14ac:dyDescent="0.3">
      <c r="A39" s="107"/>
      <c r="B39" s="108"/>
      <c r="C39" s="109"/>
      <c r="D39" s="109"/>
      <c r="E39" s="109"/>
      <c r="F39" s="109"/>
      <c r="G39" s="109"/>
    </row>
    <row r="40" spans="1:7" x14ac:dyDescent="0.3">
      <c r="A40" s="110"/>
      <c r="B40" s="111"/>
      <c r="C40" s="105"/>
      <c r="D40" s="105"/>
      <c r="E40" s="105"/>
      <c r="F40" s="105"/>
      <c r="G40" s="105"/>
    </row>
    <row r="41" spans="1:7" x14ac:dyDescent="0.3">
      <c r="A41" s="110"/>
      <c r="B41" s="111"/>
      <c r="C41" s="105"/>
      <c r="D41" s="105"/>
      <c r="E41" s="105"/>
      <c r="F41" s="105"/>
      <c r="G41" s="105"/>
    </row>
    <row r="42" spans="1:7" x14ac:dyDescent="0.3">
      <c r="A42" s="110"/>
      <c r="B42" s="111"/>
      <c r="C42" s="105"/>
      <c r="D42" s="105"/>
      <c r="E42" s="105"/>
      <c r="F42" s="105"/>
      <c r="G42" s="105"/>
    </row>
    <row r="43" spans="1:7" x14ac:dyDescent="0.3">
      <c r="A43" s="110"/>
      <c r="B43" s="111"/>
      <c r="C43" s="105"/>
      <c r="D43" s="105"/>
      <c r="E43" s="105"/>
      <c r="F43" s="105"/>
      <c r="G43" s="105"/>
    </row>
    <row r="44" spans="1:7" x14ac:dyDescent="0.3">
      <c r="A44" s="110"/>
      <c r="B44" s="111"/>
      <c r="C44" s="105"/>
      <c r="D44" s="105"/>
      <c r="E44" s="105"/>
      <c r="F44" s="105"/>
      <c r="G44" s="105"/>
    </row>
    <row r="45" spans="1:7" x14ac:dyDescent="0.3">
      <c r="A45" s="110"/>
      <c r="B45" s="111"/>
      <c r="C45" s="105"/>
      <c r="D45" s="105"/>
      <c r="E45" s="105"/>
      <c r="F45" s="105"/>
      <c r="G45" s="105"/>
    </row>
    <row r="46" spans="1:7" x14ac:dyDescent="0.3">
      <c r="A46" s="110"/>
      <c r="B46" s="111"/>
      <c r="C46" s="105"/>
      <c r="D46" s="105"/>
      <c r="E46" s="105"/>
      <c r="F46" s="105"/>
      <c r="G46" s="105"/>
    </row>
    <row r="47" spans="1:7" x14ac:dyDescent="0.3">
      <c r="A47" s="110"/>
      <c r="B47" s="111"/>
      <c r="C47" s="105"/>
      <c r="D47" s="105"/>
      <c r="E47" s="105"/>
      <c r="F47" s="105"/>
      <c r="G47" s="105"/>
    </row>
    <row r="48" spans="1:7" x14ac:dyDescent="0.3">
      <c r="A48" s="110"/>
      <c r="B48" s="111"/>
      <c r="C48" s="105"/>
      <c r="D48" s="105"/>
      <c r="E48" s="105"/>
      <c r="F48" s="105"/>
      <c r="G48" s="105"/>
    </row>
    <row r="49" spans="1:7" x14ac:dyDescent="0.3">
      <c r="A49" s="110"/>
      <c r="B49" s="111"/>
      <c r="C49" s="105"/>
      <c r="D49" s="105"/>
      <c r="E49" s="105"/>
      <c r="F49" s="105"/>
      <c r="G49" s="105"/>
    </row>
    <row r="50" spans="1:7" x14ac:dyDescent="0.3">
      <c r="A50" s="110"/>
      <c r="B50" s="111"/>
      <c r="C50" s="105"/>
      <c r="D50" s="105"/>
      <c r="E50" s="105"/>
      <c r="F50" s="105"/>
      <c r="G50" s="105"/>
    </row>
    <row r="51" spans="1:7" x14ac:dyDescent="0.3">
      <c r="A51" s="110"/>
      <c r="B51" s="111"/>
      <c r="C51" s="105"/>
      <c r="D51" s="105"/>
      <c r="E51" s="105"/>
      <c r="F51" s="105"/>
      <c r="G51" s="105"/>
    </row>
    <row r="52" spans="1:7" x14ac:dyDescent="0.3">
      <c r="A52" s="110"/>
      <c r="B52" s="111"/>
      <c r="C52" s="105"/>
      <c r="D52" s="105"/>
      <c r="E52" s="105"/>
      <c r="F52" s="105"/>
      <c r="G52" s="105"/>
    </row>
    <row r="53" spans="1:7" x14ac:dyDescent="0.3">
      <c r="A53" s="110"/>
      <c r="B53" s="111"/>
      <c r="C53" s="105"/>
      <c r="D53" s="105"/>
      <c r="E53" s="105"/>
      <c r="F53" s="105"/>
      <c r="G53" s="105"/>
    </row>
    <row r="54" spans="1:7" x14ac:dyDescent="0.3">
      <c r="A54" s="110"/>
      <c r="B54" s="111"/>
      <c r="C54" s="105"/>
      <c r="D54" s="105"/>
      <c r="E54" s="105"/>
      <c r="F54" s="105"/>
      <c r="G54" s="105"/>
    </row>
    <row r="56" spans="1:7" x14ac:dyDescent="0.3">
      <c r="A56" s="26" t="s">
        <v>15</v>
      </c>
    </row>
    <row r="57" spans="1:7" x14ac:dyDescent="0.3">
      <c r="A57" t="s">
        <v>121</v>
      </c>
    </row>
    <row r="58" spans="1:7" x14ac:dyDescent="0.3">
      <c r="A58" t="s">
        <v>18</v>
      </c>
    </row>
    <row r="59" spans="1:7" x14ac:dyDescent="0.3">
      <c r="A59" t="s">
        <v>19</v>
      </c>
    </row>
    <row r="60" spans="1:7" x14ac:dyDescent="0.3">
      <c r="A60" t="s">
        <v>20</v>
      </c>
    </row>
    <row r="61" spans="1:7" x14ac:dyDescent="0.3">
      <c r="A61" t="s">
        <v>21</v>
      </c>
    </row>
    <row r="62" spans="1:7" x14ac:dyDescent="0.3">
      <c r="A62" t="s">
        <v>137</v>
      </c>
    </row>
    <row r="64" spans="1:7" x14ac:dyDescent="0.3">
      <c r="A64" s="26" t="s">
        <v>122</v>
      </c>
      <c r="B64" s="26" t="s">
        <v>123</v>
      </c>
    </row>
    <row r="65" spans="1:3" x14ac:dyDescent="0.3">
      <c r="A65" t="s">
        <v>124</v>
      </c>
      <c r="B65" s="27">
        <v>3.2000000000000001E-2</v>
      </c>
    </row>
    <row r="66" spans="1:3" x14ac:dyDescent="0.3">
      <c r="A66" t="s">
        <v>59</v>
      </c>
    </row>
    <row r="68" spans="1:3" x14ac:dyDescent="0.3">
      <c r="A68" s="26" t="s">
        <v>100</v>
      </c>
    </row>
    <row r="69" spans="1:3" x14ac:dyDescent="0.3">
      <c r="A69" t="s">
        <v>124</v>
      </c>
    </row>
    <row r="70" spans="1:3" x14ac:dyDescent="0.3">
      <c r="A70" t="s">
        <v>59</v>
      </c>
    </row>
    <row r="72" spans="1:3" x14ac:dyDescent="0.3">
      <c r="A72" s="26" t="s">
        <v>125</v>
      </c>
    </row>
    <row r="73" spans="1:3" x14ac:dyDescent="0.3">
      <c r="A73" t="s">
        <v>135</v>
      </c>
    </row>
    <row r="74" spans="1:3" x14ac:dyDescent="0.3">
      <c r="A74" t="s">
        <v>118</v>
      </c>
    </row>
    <row r="75" spans="1:3" x14ac:dyDescent="0.3">
      <c r="A75" t="s">
        <v>69</v>
      </c>
    </row>
    <row r="76" spans="1:3" x14ac:dyDescent="0.3">
      <c r="A76" t="s">
        <v>119</v>
      </c>
    </row>
    <row r="77" spans="1:3" x14ac:dyDescent="0.3">
      <c r="A77" t="s">
        <v>120</v>
      </c>
    </row>
    <row r="79" spans="1:3" x14ac:dyDescent="0.3">
      <c r="A79" s="4" t="s">
        <v>126</v>
      </c>
      <c r="B79" s="4" t="s">
        <v>127</v>
      </c>
      <c r="C79" s="24"/>
    </row>
    <row r="80" spans="1:3" x14ac:dyDescent="0.3">
      <c r="A80">
        <v>1</v>
      </c>
      <c r="B80" s="25">
        <v>750</v>
      </c>
      <c r="C80" s="24" t="s">
        <v>102</v>
      </c>
    </row>
    <row r="81" spans="1:3" x14ac:dyDescent="0.3">
      <c r="A81">
        <v>751</v>
      </c>
      <c r="B81" s="25">
        <v>1000</v>
      </c>
      <c r="C81" s="24" t="s">
        <v>103</v>
      </c>
    </row>
    <row r="82" spans="1:3" x14ac:dyDescent="0.3">
      <c r="A82">
        <v>1001</v>
      </c>
      <c r="B82" s="25">
        <v>1250</v>
      </c>
      <c r="C82" s="24" t="s">
        <v>104</v>
      </c>
    </row>
    <row r="83" spans="1:3" x14ac:dyDescent="0.3">
      <c r="A83">
        <v>1251</v>
      </c>
      <c r="B83" s="25">
        <v>1500</v>
      </c>
      <c r="C83" s="24" t="s">
        <v>105</v>
      </c>
    </row>
    <row r="84" spans="1:3" x14ac:dyDescent="0.3">
      <c r="A84">
        <v>1501</v>
      </c>
      <c r="B84" s="25">
        <v>1750</v>
      </c>
      <c r="C84" s="24" t="s">
        <v>106</v>
      </c>
    </row>
    <row r="85" spans="1:3" x14ac:dyDescent="0.3">
      <c r="A85">
        <v>1751</v>
      </c>
      <c r="B85" s="25">
        <v>2000</v>
      </c>
      <c r="C85" s="24" t="s">
        <v>107</v>
      </c>
    </row>
    <row r="86" spans="1:3" x14ac:dyDescent="0.3">
      <c r="A86">
        <v>2001</v>
      </c>
      <c r="B86" s="25">
        <v>2250</v>
      </c>
      <c r="C86" s="24" t="s">
        <v>108</v>
      </c>
    </row>
    <row r="87" spans="1:3" x14ac:dyDescent="0.3">
      <c r="A87">
        <v>2251</v>
      </c>
      <c r="B87" s="25">
        <v>2500</v>
      </c>
      <c r="C87" s="24" t="s">
        <v>109</v>
      </c>
    </row>
    <row r="88" spans="1:3" x14ac:dyDescent="0.3">
      <c r="A88">
        <v>2501</v>
      </c>
      <c r="B88" s="25">
        <v>2750</v>
      </c>
      <c r="C88" s="24" t="s">
        <v>110</v>
      </c>
    </row>
    <row r="89" spans="1:3" x14ac:dyDescent="0.3">
      <c r="A89">
        <v>2751</v>
      </c>
      <c r="B89" s="25">
        <v>3000</v>
      </c>
      <c r="C89" s="24" t="s">
        <v>111</v>
      </c>
    </row>
    <row r="90" spans="1:3" x14ac:dyDescent="0.3">
      <c r="A90">
        <v>3001</v>
      </c>
      <c r="B90" s="25">
        <v>3250</v>
      </c>
      <c r="C90" s="24" t="s">
        <v>112</v>
      </c>
    </row>
    <row r="91" spans="1:3" x14ac:dyDescent="0.3">
      <c r="A91">
        <v>3251</v>
      </c>
      <c r="B91" s="25">
        <v>3500</v>
      </c>
      <c r="C91" s="24" t="s">
        <v>113</v>
      </c>
    </row>
    <row r="92" spans="1:3" x14ac:dyDescent="0.3">
      <c r="A92">
        <v>3501</v>
      </c>
      <c r="B92" s="25">
        <v>3750</v>
      </c>
      <c r="C92" s="24" t="s">
        <v>114</v>
      </c>
    </row>
    <row r="93" spans="1:3" x14ac:dyDescent="0.3">
      <c r="A93">
        <v>3751</v>
      </c>
      <c r="B93" s="25">
        <v>4000</v>
      </c>
      <c r="C93" s="24" t="s">
        <v>115</v>
      </c>
    </row>
    <row r="94" spans="1:3" x14ac:dyDescent="0.3">
      <c r="A94">
        <v>4001</v>
      </c>
      <c r="B94" s="25">
        <v>1000000</v>
      </c>
      <c r="C94" s="24" t="s">
        <v>116</v>
      </c>
    </row>
  </sheetData>
  <sheetProtection algorithmName="SHA-512" hashValue="PruYwyzqsQDj+EebUIcZVVjbqU1ATZ5VV/urDp4+9KiSH7xJgDxKaPRRytABOyQCxvAu+5AWIKjrUKNVKRTqZg==" saltValue="rmmdqOcleFIzlmTdgk31I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39B31B04429924493818AC29C960FCE" ma:contentTypeVersion="15" ma:contentTypeDescription="Create a new document." ma:contentTypeScope="" ma:versionID="22847cbefb54ccac6a0012736b06b932">
  <xsd:schema xmlns:xsd="http://www.w3.org/2001/XMLSchema" xmlns:xs="http://www.w3.org/2001/XMLSchema" xmlns:p="http://schemas.microsoft.com/office/2006/metadata/properties" xmlns:ns2="d3b0d2b4-35ae-4d90-b021-13d44d19e0e7" xmlns:ns3="06fa8664-7bdd-4719-a8ba-f9d5f998164f" targetNamespace="http://schemas.microsoft.com/office/2006/metadata/properties" ma:root="true" ma:fieldsID="8114355d79f297b7ad057e125090c41f" ns2:_="" ns3:_="">
    <xsd:import namespace="d3b0d2b4-35ae-4d90-b021-13d44d19e0e7"/>
    <xsd:import namespace="06fa8664-7bdd-4719-a8ba-f9d5f998164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SearchProperties" minOccurs="0"/>
                <xsd:element ref="ns2:MediaServiceDateTaken" minOccurs="0"/>
                <xsd:element ref="ns2:MediaLengthInSeconds" minOccurs="0"/>
                <xsd:element ref="ns2:No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b0d2b4-35ae-4d90-b021-13d44d19e0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e8f95e1-b47f-4030-a8fa-ecc0ae1b658d"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Note" ma:index="22" nillable="true" ma:displayName="Note" ma:format="Dropdown" ma:internalName="No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fa8664-7bdd-4719-a8ba-f9d5f998164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86e3c05-8b1a-4efd-b802-bda6b7a11617}" ma:internalName="TaxCatchAll" ma:showField="CatchAllData" ma:web="06fa8664-7bdd-4719-a8ba-f9d5f998164f">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b0d2b4-35ae-4d90-b021-13d44d19e0e7">
      <Terms xmlns="http://schemas.microsoft.com/office/infopath/2007/PartnerControls"/>
    </lcf76f155ced4ddcb4097134ff3c332f>
    <TaxCatchAll xmlns="06fa8664-7bdd-4719-a8ba-f9d5f998164f" xsi:nil="true"/>
    <Note xmlns="d3b0d2b4-35ae-4d90-b021-13d44d19e0e7">12/29/25 JJ. Updated schedules as of 10/1 and 12/18/25 in Res 2025-105.  Removing Admin, Gen Government and Parks Fees from the Schedule, Estimator &amp; Combined worksheets, PLUS updates to Non-Residential Fees per 1,000 sq ft. </Note>
  </documentManagement>
</p:properties>
</file>

<file path=customXml/itemProps1.xml><?xml version="1.0" encoding="utf-8"?>
<ds:datastoreItem xmlns:ds="http://schemas.openxmlformats.org/officeDocument/2006/customXml" ds:itemID="{79977DE2-CE8D-4774-A941-AA3F3D21B328}">
  <ds:schemaRefs>
    <ds:schemaRef ds:uri="http://schemas.microsoft.com/sharepoint/v3/contenttype/forms"/>
  </ds:schemaRefs>
</ds:datastoreItem>
</file>

<file path=customXml/itemProps2.xml><?xml version="1.0" encoding="utf-8"?>
<ds:datastoreItem xmlns:ds="http://schemas.openxmlformats.org/officeDocument/2006/customXml" ds:itemID="{A379CFDE-5C67-4EEE-B30D-FBB794F004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b0d2b4-35ae-4d90-b021-13d44d19e0e7"/>
    <ds:schemaRef ds:uri="06fa8664-7bdd-4719-a8ba-f9d5f99816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118DB5-C7B0-4D38-BD53-A8E6DB0BBE76}">
  <ds:schemaRefs>
    <ds:schemaRef ds:uri="http://schemas.microsoft.com/office/2006/metadata/properties"/>
    <ds:schemaRef ds:uri="http://schemas.microsoft.com/office/infopath/2007/PartnerControls"/>
    <ds:schemaRef ds:uri="http://www.w3.org/XML/1998/namespace"/>
    <ds:schemaRef ds:uri="http://purl.org/dc/elements/1.1/"/>
    <ds:schemaRef ds:uri="http://schemas.openxmlformats.org/package/2006/metadata/core-properties"/>
    <ds:schemaRef ds:uri="http://schemas.microsoft.com/office/2006/documentManagement/types"/>
    <ds:schemaRef ds:uri="http://purl.org/dc/dcmitype/"/>
    <ds:schemaRef ds:uri="06fa8664-7bdd-4719-a8ba-f9d5f998164f"/>
    <ds:schemaRef ds:uri="d3b0d2b4-35ae-4d90-b021-13d44d19e0e7"/>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Schedule</vt:lpstr>
      <vt:lpstr>Estimator</vt:lpstr>
      <vt:lpstr>Math</vt:lpstr>
      <vt:lpstr>Combined</vt:lpstr>
      <vt:lpstr>List</vt:lpstr>
      <vt:lpstr>Category</vt:lpstr>
    </vt:vector>
  </TitlesOfParts>
  <Manager/>
  <Company>Missoula County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Flanna McLarty</dc:creator>
  <cp:keywords/>
  <dc:description/>
  <cp:lastModifiedBy>Jill Johnson</cp:lastModifiedBy>
  <cp:revision/>
  <cp:lastPrinted>2025-12-29T21:53:34Z</cp:lastPrinted>
  <dcterms:created xsi:type="dcterms:W3CDTF">2023-12-20T22:38:42Z</dcterms:created>
  <dcterms:modified xsi:type="dcterms:W3CDTF">2025-12-29T21:54:10Z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0x010100E39B31B04429924493818AC29C960FCE</vt:lpwstr>
  </property>
  <property fmtid="{D5CDD505-2E9C-101B-9397-08002B2CF9AE}" pid="3" name="MediaServiceImageTags">
    <vt:lpwstr/>
  </property>
</Properties>
</file>